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STELLON-CASTELLO\"/>
    </mc:Choice>
  </mc:AlternateContent>
  <workbookProtection workbookAlgorithmName="SHA-512" workbookHashValue="/qUKjV7Rw09fAW44cXDuqjBtlD8UkfdnpKd3eo1XC6gCUToz5LAp/FVoy8Ft2Gtn+stBtmbtluyyIFHcNvGsYw==" workbookSaltValue="8irFX17nhFZMXsWQpLqae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L9" i="16" s="1"/>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5" i="12" l="1"/>
  <c r="J11" i="12"/>
  <c r="E20" i="17"/>
  <c r="F13" i="12"/>
  <c r="G20" i="7"/>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<sst xmlns="http://schemas.openxmlformats.org/spreadsheetml/2006/main" count="2513" uniqueCount="1027">
  <si>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</si>
  <si>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</si>
  <si>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</si>
  <si>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</si>
  <si>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</si>
  <si>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</si>
  <si>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</si>
  <si>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</si>
  <si>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</si>
  <si>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</si>
  <si>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</si>
  <si>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</si>
  <si>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</si>
  <si>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</si>
  <si>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</si>
  <si>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</si>
  <si>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</si>
  <si>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</si>
  <si>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</si>
  <si>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</si>
  <si>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</si>
  <si>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</si>
  <si>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</si>
  <si>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</si>
  <si>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</si>
  <si>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</si>
  <si>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</si>
  <si>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</si>
  <si>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</si>
  <si>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</si>
  <si>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</si>
  <si>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</si>
  <si>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</si>
  <si>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</si>
  <si>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</si>
  <si>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</si>
  <si>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</si>
  <si>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</si>
  <si>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</si>
  <si>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</si>
  <si>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</si>
  <si>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</si>
  <si>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</si>
  <si>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</si>
  <si>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</si>
  <si>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</si>
  <si>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</si>
  <si>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</si>
  <si>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</si>
  <si>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</si>
  <si>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</si>
  <si>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</si>
  <si>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</si>
  <si>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</si>
  <si>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</si>
  <si>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</si>
  <si>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</si>
  <si>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</si>
  <si>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</si>
  <si>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</si>
  <si>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</si>
  <si>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</si>
  <si>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</si>
  <si>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</si>
  <si>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</si>
  <si>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</si>
  <si>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</si>
  <si>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</si>
  <si>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</si>
  <si>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</si>
  <si>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</si>
  <si>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</si>
  <si>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</si>
  <si>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</si>
  <si>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</si>
  <si>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</si>
  <si>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</si>
  <si>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</si>
  <si>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</si>
  <si>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</si>
  <si>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</si>
  <si>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</si>
  <si>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</si>
  <si>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</si>
  <si>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</si>
  <si>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</si>
  <si>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</si>
  <si>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</si>
  <si>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</si>
  <si>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</si>
  <si>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</si>
  <si>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</si>
  <si>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</si>
  <si>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</si>
  <si>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</si>
  <si>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</si>
  <si>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</si>
  <si>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</si>
  <si>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</si>
  <si>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</si>
  <si>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</si>
  <si>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</si>
  <si>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</si>
  <si>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</si>
  <si>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</si>
  <si>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</si>
  <si>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</si>
  <si>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</si>
  <si>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</si>
  <si>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</si>
  <si>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</si>
  <si>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</si>
  <si>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</si>
  <si>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</si>
  <si>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</si>
  <si>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</si>
  <si>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</si>
  <si>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</si>
  <si>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</si>
  <si>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</si>
  <si>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</si>
  <si>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</si>
  <si>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</si>
  <si>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</si>
  <si>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</si>
  <si>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</si>
  <si>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</si>
  <si>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</si>
  <si>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</si>
  <si>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</si>
  <si>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</si>
  <si>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</si>
  <si>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</si>
  <si>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</si>
  <si>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</si>
  <si>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</si>
  <si>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</si>
  <si>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</si>
  <si>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</si>
  <si>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</si>
  <si>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</si>
  <si>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</si>
  <si>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</si>
  <si>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</si>
  <si>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</si>
  <si>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</si>
  <si>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</si>
  <si>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</si>
  <si>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</si>
  <si>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</si>
  <si>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</si>
  <si>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</si>
  <si>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</si>
  <si>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</si>
  <si>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</si>
  <si>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</si>
  <si>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</si>
  <si>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</si>
  <si>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</si>
  <si>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</si>
  <si>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</si>
  <si>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</si>
  <si>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</si>
  <si>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</si>
  <si>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</si>
  <si>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</si>
  <si>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</si>
  <si>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</si>
  <si>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</si>
  <si>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</si>
  <si>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</si>
  <si>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</si>
  <si>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</si>
  <si>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</si>
  <si>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</si>
  <si>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</si>
  <si>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</si>
  <si>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</si>
  <si>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</si>
  <si>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</si>
  <si>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</si>
  <si>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</si>
  <si>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</si>
  <si>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</si>
  <si>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</si>
  <si>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</si>
  <si>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</si>
  <si>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</si>
  <si>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</si>
  <si>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</si>
  <si>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</si>
  <si>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</si>
  <si>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</si>
  <si>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</si>
  <si>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</si>
  <si>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</si>
  <si>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</si>
  <si>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</si>
  <si>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</si>
  <si>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</si>
  <si>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</si>
  <si>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</si>
  <si>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</si>
  <si>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</si>
  <si>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</si>
  <si>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</si>
  <si>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</si>
  <si>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</si>
  <si>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</si>
  <si>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</si>
  <si>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</si>
  <si>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</si>
  <si>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</si>
  <si>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</si>
  <si>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</si>
  <si>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</si>
  <si>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</si>
  <si>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</si>
  <si>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</si>
  <si>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</si>
  <si>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</si>
  <si>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</si>
  <si>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</si>
  <si>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</si>
  <si>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</si>
  <si>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</si>
  <si>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</si>
  <si>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</si>
  <si>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</si>
  <si>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</si>
  <si>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</si>
  <si>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</si>
  <si>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</si>
  <si>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</si>
  <si>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</si>
  <si>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</si>
  <si>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</si>
  <si>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</si>
  <si>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</si>
  <si>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</si>
  <si>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</si>
  <si>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</si>
  <si>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</si>
  <si>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</si>
  <si>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</si>
  <si>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</si>
  <si>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</si>
  <si>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</si>
  <si>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</si>
  <si>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</si>
  <si>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</si>
  <si>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</si>
  <si>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</si>
  <si>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</si>
  <si>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</si>
  <si>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</si>
  <si>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</si>
  <si>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</si>
  <si>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</si>
  <si>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</si>
  <si>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</si>
  <si>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</si>
  <si>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</si>
  <si>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</si>
  <si>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</si>
  <si>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</si>
  <si>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</si>
  <si>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</si>
  <si>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</si>
  <si>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</si>
  <si>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</si>
  <si>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</si>
  <si>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</si>
  <si>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</si>
  <si>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</si>
  <si>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</si>
  <si>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</si>
  <si>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</si>
  <si>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</si>
  <si>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</si>
  <si>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</si>
  <si>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</si>
  <si>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</si>
  <si>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</si>
  <si>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</si>
  <si>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</si>
  <si>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</si>
  <si>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</si>
  <si>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</si>
  <si>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</si>
  <si>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</si>
  <si>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</si>
  <si>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</si>
  <si>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</si>
  <si>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</si>
  <si>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</si>
  <si>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</si>
  <si>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</si>
  <si>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</si>
  <si>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</si>
  <si>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</si>
  <si>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</si>
  <si>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</si>
  <si>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</si>
  <si>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</si>
  <si>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</si>
  <si>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</si>
  <si>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</si>
  <si>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</si>
  <si>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</si>
  <si>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</si>
  <si>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</si>
  <si>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</si>
  <si>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</si>
  <si>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</si>
  <si>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</si>
  <si>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</si>
  <si>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</si>
  <si>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</si>
  <si>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</si>
  <si>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</si>
  <si>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</si>
  <si>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</si>
  <si>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</si>
  <si>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</si>
  <si>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</si>
  <si>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</si>
  <si>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</si>
  <si>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</si>
  <si>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</si>
  <si>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</si>
  <si>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</si>
  <si>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</si>
  <si>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</si>
  <si>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</si>
  <si>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</si>
  <si>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</si>
  <si>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</si>
  <si>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</si>
  <si>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</si>
  <si>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</si>
  <si>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</si>
  <si>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</si>
  <si>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</si>
  <si>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</si>
  <si>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</si>
  <si>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</si>
  <si>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</si>
  <si>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</si>
  <si>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</si>
  <si>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</si>
  <si>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</si>
  <si>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</si>
  <si>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</si>
  <si>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</si>
  <si>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</si>
  <si>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</si>
  <si>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</si>
  <si>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</si>
  <si>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</si>
  <si>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</si>
  <si>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</si>
  <si>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</si>
  <si>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</si>
  <si>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</si>
  <si>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</si>
  <si>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</si>
  <si>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</si>
  <si>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</si>
  <si>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</si>
  <si>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</si>
  <si>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</si>
  <si>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</si>
  <si>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</si>
  <si>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</si>
  <si>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</si>
  <si>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</si>
  <si>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</si>
  <si>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</si>
  <si>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</si>
  <si>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</si>
  <si>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</si>
  <si>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</si>
  <si>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</si>
  <si>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</si>
  <si>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</si>
  <si>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</si>
  <si>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</si>
  <si>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</si>
  <si>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</si>
  <si>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</si>
  <si>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</si>
  <si>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</si>
  <si>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</si>
  <si>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</si>
  <si>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</si>
  <si>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</si>
  <si>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</si>
  <si>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</si>
  <si>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</si>
  <si>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</si>
  <si>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</si>
  <si>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</si>
  <si>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</si>
  <si>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</si>
  <si>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</si>
  <si>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</si>
  <si>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</si>
  <si>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</si>
  <si>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</si>
  <si>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</si>
  <si>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</si>
  <si>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</si>
  <si>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</si>
  <si>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</si>
  <si>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</si>
  <si>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</si>
  <si>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</si>
  <si>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</si>
  <si>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</si>
  <si>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</si>
  <si>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</si>
  <si>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</si>
  <si>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</si>
  <si>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</si>
  <si>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</si>
  <si>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</si>
  <si>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</si>
  <si>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</si>
  <si>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</si>
  <si>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</si>
  <si>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</si>
  <si>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</si>
  <si>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</si>
  <si>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</si>
  <si>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</si>
  <si>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</si>
  <si>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</si>
  <si>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</si>
  <si>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</si>
  <si>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</si>
  <si>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</si>
  <si>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</si>
  <si>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</si>
  <si>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</si>
  <si>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</si>
  <si>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</si>
  <si>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</si>
  <si>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</si>
  <si>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</si>
  <si>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</si>
  <si>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</si>
  <si>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</si>
  <si>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</si>
  <si>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</si>
  <si>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</si>
  <si>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</si>
  <si>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</si>
  <si>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</si>
  <si>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</si>
  <si>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</si>
  <si>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</si>
  <si>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</si>
  <si>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</si>
  <si>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</si>
  <si>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</si>
  <si>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</si>
  <si>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</si>
  <si>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</si>
  <si>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</si>
  <si>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</si>
  <si>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</si>
  <si>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</si>
  <si>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</si>
  <si>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</si>
  <si>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</si>
  <si>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</si>
  <si>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</si>
  <si>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</si>
  <si>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</si>
  <si>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</si>
  <si>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</si>
  <si>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</si>
  <si>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</si>
  <si>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</si>
  <si>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</si>
  <si>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</si>
  <si>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</si>
  <si>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</si>
  <si>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</si>
  <si>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</si>
  <si>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</si>
  <si>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</si>
  <si>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</si>
  <si>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</si>
  <si>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</si>
  <si>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</si>
  <si>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</si>
  <si>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</si>
  <si>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</si>
  <si>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</si>
  <si>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</si>
  <si>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</si>
  <si>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</si>
  <si>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</si>
  <si>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</si>
  <si>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</si>
  <si>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</si>
  <si>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</si>
  <si>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</si>
  <si>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</si>
  <si>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</si>
  <si>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</si>
  <si>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</si>
  <si>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</si>
  <si>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</si>
  <si>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</si>
  <si>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</si>
  <si>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</si>
  <si>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</si>
  <si>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</si>
  <si>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</si>
  <si>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</si>
  <si>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</si>
  <si>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</si>
  <si>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</si>
  <si>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</si>
  <si>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</si>
  <si>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</si>
  <si>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</si>
  <si>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</si>
  <si>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</si>
  <si>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</si>
  <si>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</si>
  <si>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</si>
  <si>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</si>
  <si>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</si>
  <si>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</si>
  <si>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</si>
  <si>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</si>
  <si>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</si>
  <si>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</si>
  <si>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</si>
  <si>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</si>
  <si>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</si>
  <si>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</si>
  <si>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</si>
  <si>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</si>
  <si>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</si>
  <si>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</si>
  <si>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</si>
  <si>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</si>
  <si>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</si>
  <si>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</si>
  <si>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</si>
  <si>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</si>
  <si>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</si>
  <si>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</si>
  <si>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</si>
  <si>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</si>
  <si>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</si>
  <si>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</si>
  <si>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</si>
  <si>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</si>
  <si>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</si>
  <si>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</si>
  <si>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</si>
  <si>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</si>
  <si>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</si>
  <si>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</si>
  <si>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</si>
  <si>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</si>
  <si>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</si>
  <si>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</si>
  <si>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</si>
  <si>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</si>
  <si>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</si>
  <si>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</si>
  <si>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</si>
  <si>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</si>
  <si>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</si>
  <si>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</si>
  <si>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</si>
  <si>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</si>
  <si>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</si>
  <si>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</si>
  <si>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</si>
  <si>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</si>
  <si>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</si>
  <si>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</si>
  <si>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</si>
  <si>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</si>
  <si>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</si>
  <si>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</si>
  <si>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</si>
  <si>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</si>
  <si>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</si>
  <si>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</si>
  <si>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</si>
  <si>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</si>
  <si>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</si>
  <si>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</si>
  <si>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</si>
  <si>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</si>
  <si>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</si>
  <si>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</si>
  <si>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</si>
  <si>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</si>
  <si>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</si>
  <si>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</si>
  <si>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</si>
  <si>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</si>
  <si>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</si>
  <si>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</si>
  <si>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</si>
  <si>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</si>
  <si>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</si>
  <si>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</si>
  <si>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</si>
  <si>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</si>
  <si>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</si>
  <si>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</si>
  <si>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</si>
  <si>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</si>
  <si>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</si>
  <si>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</si>
  <si>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</si>
  <si>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</si>
  <si>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</si>
  <si>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</si>
  <si>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</si>
  <si>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</si>
  <si>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</si>
  <si>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</si>
  <si>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</si>
  <si>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</si>
  <si>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</si>
  <si>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</si>
  <si>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</si>
  <si>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</si>
  <si>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</si>
  <si>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</si>
  <si>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</si>
  <si>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</si>
  <si>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</si>
  <si>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</si>
  <si>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</si>
  <si>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</si>
  <si>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</si>
  <si>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</si>
  <si>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</si>
  <si>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</si>
  <si>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</si>
  <si>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</si>
  <si>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</si>
  <si>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</si>
  <si>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</si>
  <si>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</si>
  <si>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</si>
  <si>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</si>
  <si>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</si>
  <si>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</si>
  <si>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</si>
  <si>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</si>
  <si>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</si>
  <si>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</si>
  <si>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</si>
  <si>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</si>
  <si>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</si>
  <si>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</si>
  <si>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</si>
  <si>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</si>
  <si>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</si>
  <si>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</si>
  <si>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</si>
  <si>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</si>
  <si>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</si>
  <si>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</si>
  <si>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</si>
  <si>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</si>
  <si>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</si>
  <si>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</si>
  <si>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</si>
  <si>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</si>
  <si>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</si>
  <si>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</si>
  <si>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</si>
  <si>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</si>
  <si>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</si>
  <si>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</si>
  <si>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</si>
  <si>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</si>
  <si>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</si>
  <si>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</si>
  <si>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</si>
  <si>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</si>
  <si>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</si>
  <si>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</si>
  <si>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</si>
  <si>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</si>
  <si>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</si>
  <si>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</si>
  <si>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</si>
  <si>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</si>
  <si>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</si>
  <si>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</si>
  <si>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</si>
  <si>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</si>
  <si>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</si>
  <si>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</si>
  <si>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</si>
  <si>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</si>
  <si>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</si>
  <si>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</si>
  <si>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</si>
  <si>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</si>
  <si>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</si>
  <si>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</si>
  <si>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</si>
  <si>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</si>
  <si>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</si>
  <si>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</si>
  <si>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</si>
  <si>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</si>
  <si>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</si>
  <si>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</si>
  <si>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</si>
  <si>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</si>
  <si>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</si>
  <si>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</si>
  <si>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</si>
  <si>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</si>
  <si>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</si>
  <si>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</si>
  <si>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</si>
  <si>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</si>
  <si>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</si>
  <si>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</si>
  <si>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</si>
  <si>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</si>
  <si>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</si>
  <si>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</si>
  <si>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</si>
  <si>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</si>
  <si>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</si>
  <si>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</si>
  <si>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</si>
  <si>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</si>
  <si>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</si>
  <si>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</si>
  <si>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</si>
  <si>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</si>
  <si>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</si>
  <si>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</si>
  <si>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</si>
  <si>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</si>
  <si>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</si>
  <si>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</si>
  <si>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</si>
  <si>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</si>
  <si>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</si>
  <si>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</si>
  <si>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</si>
  <si>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</si>
  <si>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</si>
  <si>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</si>
  <si>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</si>
  <si>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</si>
  <si>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</si>
  <si>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</si>
  <si>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</si>
  <si>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</si>
  <si>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</si>
  <si>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</si>
  <si>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</si>
  <si>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</si>
  <si>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</si>
  <si>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</si>
  <si>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</si>
  <si>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</si>
  <si>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</si>
  <si>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</si>
  <si>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</si>
  <si>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</si>
  <si>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</si>
  <si>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</si>
  <si>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</si>
  <si>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</si>
  <si>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</si>
  <si>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</si>
  <si>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</si>
  <si>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</si>
  <si>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</si>
  <si>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</si>
  <si>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</si>
  <si>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</si>
  <si>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</si>
  <si>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</si>
  <si>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</si>
  <si>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</si>
  <si>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</si>
  <si>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</si>
  <si>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</si>
  <si>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</si>
  <si>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</si>
  <si>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</si>
  <si>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</si>
  <si>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</si>
  <si>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</si>
  <si>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</si>
  <si>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</si>
  <si>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</si>
  <si>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</si>
  <si>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</si>
  <si>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</si>
  <si>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</si>
  <si>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</si>
  <si>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</si>
  <si>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</si>
  <si>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</si>
  <si>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</si>
  <si>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</si>
  <si>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</si>
  <si>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</si>
  <si>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</si>
  <si>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</si>
  <si>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</si>
  <si>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</si>
  <si>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</si>
  <si>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</si>
  <si>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</si>
  <si>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</si>
  <si>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</si>
  <si>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</si>
  <si>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</si>
  <si>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</si>
  <si>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</si>
  <si>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</si>
  <si>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</si>
  <si>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</si>
  <si>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</si>
  <si>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</si>
  <si>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</si>
  <si>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</si>
  <si>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</si>
  <si>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</si>
  <si>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</si>
  <si>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</si>
  <si>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</si>
  <si>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</si>
  <si>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</si>
  <si>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</si>
  <si>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</si>
  <si>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</si>
  <si>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</si>
  <si>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</si>
  <si>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</si>
  <si>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</si>
  <si>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</si>
  <si>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</si>
  <si>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</si>
  <si>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</si>
  <si>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</si>
  <si>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</si>
  <si>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</si>
  <si>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</si>
  <si>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</si>
  <si>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</si>
  <si>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</si>
  <si>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</si>
  <si>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</si>
  <si>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</si>
  <si>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</si>
  <si>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</si>
  <si>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</si>
  <si>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</si>
  <si>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</si>
  <si>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</si>
  <si>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</si>
  <si>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</si>
  <si>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</si>
  <si>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</si>
  <si>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</si>
  <si>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</si>
  <si>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</si>
  <si>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</si>
  <si>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</si>
  <si>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</si>
  <si>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</si>
  <si>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</si>
  <si>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</si>
  <si>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</si>
  <si>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</si>
  <si>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</si>
  <si>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</si>
  <si>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</si>
  <si>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</si>
  <si>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</si>
  <si>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</si>
  <si>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</si>
  <si>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</si>
  <si>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</si>
  <si>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</si>
  <si>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</si>
  <si>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</si>
  <si>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</si>
  <si>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</si>
  <si>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</si>
  <si>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</si>
  <si>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</si>
  <si>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</si>
  <si>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</si>
  <si>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</si>
  <si>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</si>
  <si>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</si>
  <si>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</si>
  <si>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</si>
  <si>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</si>
  <si>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</si>
  <si>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</si>
  <si>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</si>
  <si>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</si>
  <si>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</si>
  <si>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</si>
  <si>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</si>
  <si>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</si>
  <si>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</si>
  <si>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</si>
  <si>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</si>
  <si>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</si>
  <si>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</si>
  <si>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</si>
  <si>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</si>
  <si>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</si>
  <si>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</si>
  <si>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</si>
  <si>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</si>
  <si>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</si>
  <si>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</si>
  <si>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</si>
  <si>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</si>
  <si>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</si>
  <si>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</si>
  <si>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</si>
  <si>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</si>
  <si>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</si>
  <si>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</si>
  <si>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</si>
  <si>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</si>
  <si>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</si>
  <si>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</si>
  <si>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</si>
  <si>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</si>
  <si>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</si>
  <si>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</si>
  <si>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</si>
  <si>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</si>
  <si>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</si>
  <si>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</si>
  <si>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</si>
  <si>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</si>
  <si>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</si>
  <si>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</si>
  <si>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</si>
  <si>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</si>
  <si>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</si>
  <si>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</si>
  <si>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</si>
  <si>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</si>
  <si>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</si>
  <si>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</si>
  <si>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</si>
  <si>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</si>
  <si>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</si>
  <si>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</si>
  <si>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</si>
  <si>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</si>
  <si>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</si>
  <si>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</si>
  <si>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</si>
  <si>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</si>
  <si>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</si>
  <si>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</si>
  <si>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</si>
  <si>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</si>
  <si>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</si>
  <si>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</si>
  <si>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</si>
  <si>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</si>
  <si>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</si>
  <si>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</si>
  <si>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</si>
  <si>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</si>
  <si>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</si>
  <si>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</si>
  <si>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</si>
  <si>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</si>
  <si>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</si>
  <si>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</si>
  <si>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</si>
  <si>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</si>
  <si>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</si>
  <si>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</si>
  <si>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</si>
  <si>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</si>
  <si>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</si>
  <si>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</si>
  <si>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</si>
  <si>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</si>
  <si>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</si>
  <si>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</si>
  <si>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</si>
  <si>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</si>
  <si>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</si>
  <si>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</si>
  <si>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</si>
  <si>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</si>
  <si>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</si>
  <si>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</si>
  <si>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</si>
  <si>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</si>
  <si>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</si>
  <si>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</si>
  <si>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</si>
  <si>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CASTELLON-CASTELLO</t>
  </si>
  <si>
    <t>Resumenes por Partidos Judiciales</t>
  </si>
  <si>
    <t>CASTELLO DE LA PLANA-CASTELLON DE LA PLANA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</si>
</sst>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IVwwhDnI4td03rGq5yvOBxPK/ksyObAV5l4H5wY7icom2jeDT59x4BrOznjjEIXKC+seQEET2976ae6x4s+5w==" saltValue="Pqhxt7U3a/WWrVJzXrWiK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CASTELLON-CASTELLO</v>
      </c>
      <c r="D3" s="374"/>
      <c r="E3" s="374"/>
      <c r="F3" s="374"/>
      <c r="BQ3" s="470"/>
    </row>
    <row r="4" spans="1:69" ht="13.5" thickBot="1">
      <c r="A4" s="374"/>
      <c r="B4" s="390" t="str">
        <f>Criterios!A11 &amp;"  "&amp;Criterios!B11</f>
        <v>Resumenes por Partidos Judiciales  CASTELLO DE LA PLANA-CASTELLON DE LA PLANA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8</v>
      </c>
      <c r="C9" s="402">
        <f>IF(ISNUMBER(IF(J_V="SI",Datos!I9,Datos!I9+Datos!Y9)),IF(J_V="SI",Datos!I9,Datos!I9+Datos!Y9)," - ")</f>
        <v>14930</v>
      </c>
      <c r="D9" s="403">
        <f>IF(ISNUMBER(C9/Datos!BH9),C9/Datos!BH9," - ")</f>
        <v>1866.25</v>
      </c>
      <c r="E9" s="402">
        <f>IF(ISNUMBER(IF(J_V="SI",Datos!J9,Datos!J9+Datos!Z9)),IF(J_V="SI",Datos!J9,Datos!J9+Datos!Z9)," - ")</f>
        <v>3619</v>
      </c>
      <c r="F9" s="403">
        <f>IF(ISNUMBER(E9/B9),E9/B9," - ")</f>
        <v>452.375</v>
      </c>
      <c r="G9" s="402">
        <f>IF(ISNUMBER(IF(J_V="SI",Datos!K9,Datos!K9+Datos!AA9)),IF(J_V="SI",Datos!K9,Datos!K9+Datos!AA9)," - ")</f>
        <v>3450</v>
      </c>
      <c r="H9" s="403">
        <f>IF(ISNUMBER(G9/B9),G9/B9," - ")</f>
        <v>431.25</v>
      </c>
      <c r="I9" s="402">
        <f>IF(ISNUMBER(IF(J_V="SI",Datos!L9,Datos!L9+Datos!AB9)),IF(J_V="SI",Datos!L9,Datos!L9+Datos!AB9)," - ")</f>
        <v>15099</v>
      </c>
      <c r="J9" s="403">
        <f>IF(ISNUMBER(I9/B9),I9/B9," - ")</f>
        <v>1887.375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175</v>
      </c>
      <c r="D10" s="403">
        <f>IF(ISNUMBER(C10/Datos!BH10),C10/Datos!BH10," - ")</f>
        <v>175</v>
      </c>
      <c r="E10" s="402">
        <f>IF(ISNUMBER(Datos!J10),Datos!J10," - ")</f>
        <v>60</v>
      </c>
      <c r="F10" s="403">
        <f>IF(ISNUMBER(E10/B10),E10/B10," - ")</f>
        <v>30</v>
      </c>
      <c r="G10" s="402">
        <f>IF(ISNUMBER(Datos!K10),Datos!K10," - ")</f>
        <v>77</v>
      </c>
      <c r="H10" s="403">
        <f>IF(ISNUMBER(G10/B10),G10/B10," - ")</f>
        <v>38.5</v>
      </c>
      <c r="I10" s="402">
        <f>IF(ISNUMBER(Datos!L10),Datos!L10," - ")</f>
        <v>158</v>
      </c>
      <c r="J10" s="403">
        <f>IF(ISNUMBER(I10/B10),I10/B10," - ")</f>
        <v>79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843</v>
      </c>
      <c r="D11" s="403">
        <f>IF(ISNUMBER(C11/Datos!BH11),C11/Datos!BH11," - ")</f>
        <v>210.75</v>
      </c>
      <c r="E11" s="402">
        <f>IF(ISNUMBER(IF(J_V="SI",Datos!J11,Datos!J11+Datos!Z11)),IF(J_V="SI",Datos!J11,Datos!J11+Datos!Z11)," - ")</f>
        <v>798</v>
      </c>
      <c r="F11" s="403">
        <f>IF(ISNUMBER(E11/B11),E11/B11," - ")</f>
        <v>399</v>
      </c>
      <c r="G11" s="402">
        <f>IF(ISNUMBER(IF(J_V="SI",Datos!K11,Datos!K11+Datos!AA11)),IF(J_V="SI",Datos!K11,Datos!K11+Datos!AA11)," - ")</f>
        <v>837</v>
      </c>
      <c r="H11" s="403">
        <f>IF(ISNUMBER(G11/B11),G11/B11," - ")</f>
        <v>418.5</v>
      </c>
      <c r="I11" s="402">
        <f>IF(ISNUMBER(IF(J_V="SI",Datos!L11,Datos!L11+Datos!AB11)),IF(J_V="SI",Datos!L11,Datos!L11+Datos!AB11)," - ")</f>
        <v>804</v>
      </c>
      <c r="J11" s="403">
        <f>IF(ISNUMBER(I11/B11),I11/B11," - ")</f>
        <v>402</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12</v>
      </c>
      <c r="C13" s="846">
        <f>SUBTOTAL(9,C8:C12)</f>
        <v>15948</v>
      </c>
      <c r="D13" s="847" t="str">
        <f>IF(ISNUMBER(C13/Datos!BI13),C13/Datos!BI13," - ")</f>
        <v xml:space="preserve"> - </v>
      </c>
      <c r="E13" s="846">
        <f>SUBTOTAL(9,E8:E12)</f>
        <v>4477</v>
      </c>
      <c r="F13" s="847">
        <f>IF(ISNUMBER(E13/B13),E13/B13," - ")</f>
        <v>373.08333333333331</v>
      </c>
      <c r="G13" s="846">
        <f>SUBTOTAL(9,G8:G12)</f>
        <v>4364</v>
      </c>
      <c r="H13" s="847">
        <f>IF(ISNUMBER(G13/B13),G13/B13," - ")</f>
        <v>363.66666666666669</v>
      </c>
      <c r="I13" s="846">
        <f>SUBTOTAL(9,I8:I12)</f>
        <v>16061</v>
      </c>
      <c r="J13" s="847">
        <f>IF(ISNUMBER(I13/B13),I13/B13," - ")</f>
        <v>1338.4166666666667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4815</v>
      </c>
      <c r="D15" s="403">
        <f>IF(ISNUMBER(C15/Datos!BH15),C15/Datos!BH15," - ")</f>
        <v>802.5</v>
      </c>
      <c r="E15" s="402">
        <f>IF(ISNUMBER(IF(D_I="SI",Datos!J15,Datos!J15+Datos!AD15)),IF(D_I="SI",Datos!J15,Datos!J15+Datos!AD15)," - ")</f>
        <v>3677</v>
      </c>
      <c r="F15" s="403">
        <f>IF(ISNUMBER(E15/B15),E15/B15," - ")</f>
        <v>735.4</v>
      </c>
      <c r="G15" s="402">
        <f>IF(ISNUMBER(IF(D_I="SI",Datos!K15,Datos!K15+Datos!AE15)),IF(D_I="SI",Datos!K15,Datos!K15+Datos!AE15)," - ")</f>
        <v>3727</v>
      </c>
      <c r="H15" s="403">
        <f>IF(ISNUMBER(G15/B15),G15/B15," - ")</f>
        <v>745.4</v>
      </c>
      <c r="I15" s="402">
        <f>IF(ISNUMBER(IF(D_I="SI",Datos!L15,Datos!L15+Datos!AF15)),IF(D_I="SI",Datos!L15,Datos!L15+Datos!AF15)," - ")</f>
        <v>4590</v>
      </c>
      <c r="J15" s="403">
        <f>IF(ISNUMBER(I15/B15),I15/B15," - ")</f>
        <v>918</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350</v>
      </c>
      <c r="D18" s="403">
        <f>IF(ISNUMBER(C18/Datos!BH18),C18/Datos!BH18," - ")</f>
        <v>350</v>
      </c>
      <c r="E18" s="402">
        <f>IF(ISNUMBER(IF(D_I="SI",Datos!J18,Datos!J18+Datos!AD18)),IF(D_I="SI",Datos!J18,Datos!J18+Datos!AD18)," - ")</f>
        <v>570</v>
      </c>
      <c r="F18" s="403">
        <f>IF(ISNUMBER(E18/B18),E18/B18," - ")</f>
        <v>285</v>
      </c>
      <c r="G18" s="402">
        <f>IF(ISNUMBER(IF(D_I="SI",Datos!K18,Datos!K18+Datos!AE18)),IF(D_I="SI",Datos!K18,Datos!K18+Datos!AE18)," - ")</f>
        <v>508</v>
      </c>
      <c r="H18" s="403">
        <f>IF(ISNUMBER(G18/B18),G18/B18," - ")</f>
        <v>254</v>
      </c>
      <c r="I18" s="402">
        <f>IF(ISNUMBER(IF(D_I="SI",Datos!L18,Datos!L18+Datos!AF18)),IF(D_I="SI",Datos!L18,Datos!L18+Datos!AF18)," - ")</f>
        <v>399</v>
      </c>
      <c r="J18" s="403">
        <f>IF(ISNUMBER(I18/B18),I18/B18," - ")</f>
        <v>199.5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5165</v>
      </c>
      <c r="D19" s="847" t="str">
        <f>IF(ISNUMBER(C19/Datos!BI19),C19/Datos!BI19," - ")</f>
        <v xml:space="preserve"> - </v>
      </c>
      <c r="E19" s="846">
        <f>SUBTOTAL(9,E14:E18)</f>
        <v>4247</v>
      </c>
      <c r="F19" s="847">
        <f>IF(ISNUMBER(E19/B19),E19/B19," - ")</f>
        <v>606.71428571428567</v>
      </c>
      <c r="G19" s="846">
        <f>SUBTOTAL(9,G14:G18)</f>
        <v>4235</v>
      </c>
      <c r="H19" s="847">
        <f>IF(ISNUMBER(G19/B19),G19/B19," - ")</f>
        <v>605</v>
      </c>
      <c r="I19" s="846">
        <f>SUBTOTAL(9,I14:I18)</f>
        <v>4989</v>
      </c>
      <c r="J19" s="847">
        <f>IF(ISNUMBER(I19/B19),I19/B19," - ")</f>
        <v>712.71428571428567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17</v>
      </c>
      <c r="C20" s="791">
        <f>SUBTOTAL(9,C9:C19)</f>
        <v>21113</v>
      </c>
      <c r="D20" s="792" t="str">
        <f>IF(ISNUMBER(C20/Datos!BI20),C20/Datos!BI20," - ")</f>
        <v xml:space="preserve"> - </v>
      </c>
      <c r="E20" s="791">
        <f>SUBTOTAL(9,E9:E19)</f>
        <v>8724</v>
      </c>
      <c r="F20" s="792">
        <f>IF(ISNUMBER(E20/B20),E20/B20," - ")</f>
        <v>513.17647058823525</v>
      </c>
      <c r="G20" s="791">
        <f>SUBTOTAL(9,G9:G19)</f>
        <v>8599</v>
      </c>
      <c r="H20" s="792">
        <f>IF(ISNUMBER(G20/B20),G20/B20," - ")</f>
        <v>505.8235294117647</v>
      </c>
      <c r="I20" s="791">
        <f>SUBTOTAL(9,I9:I19)</f>
        <v>21050</v>
      </c>
      <c r="J20" s="792">
        <f>IF(ISNUMBER(I20/B20),I20/B20," - ")</f>
        <v>1238.2352941176471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whfzo2+gDvKmzZF5ppfIcysOk+ntjn6wSM53Z99pclekjLHCkhVPXM16m5regn/ehn315/rOD75AzLcaT1JgQ==" saltValue="f6+myyqN9WxY7yAUH1x/I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CASTELLON-CASTELLO</v>
      </c>
      <c r="C3" s="414"/>
      <c r="F3" s="374"/>
      <c r="G3" s="374"/>
      <c r="H3" s="374"/>
    </row>
    <row r="4" spans="1:15" ht="13.5" thickBot="1">
      <c r="A4" s="374"/>
      <c r="B4" s="390" t="str">
        <f>Criterios!A11 &amp;"  "&amp;Criterios!B11</f>
        <v>Resumenes por Partidos Judiciales  CASTELLO DE LA PLANA-CASTELLON DE LA PLANA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8</v>
      </c>
      <c r="D9" s="402">
        <f>Datos!BK9</f>
        <v>0</v>
      </c>
      <c r="E9" s="402">
        <f>Datos!AQ9</f>
        <v>8</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0.83333333333333337</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MRRaK2NStUX08yR76bZL5hdCqhKzdZfX3uzAaoSjsbhIyB/oCum8dI1zi2H1Ocu8QQyVPohUvFO49jXWDd6bw==" saltValue="TdggebY0PxV1RAQq621P+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CASTELLON-CASTELLO</v>
      </c>
      <c r="C3" s="390"/>
      <c r="D3" s="424"/>
      <c r="BZ3" s="470"/>
    </row>
    <row r="4" spans="1:78" ht="13.5" thickBot="1">
      <c r="B4" s="390" t="str">
        <f>Criterios!A11 &amp;"  "&amp;Criterios!B11</f>
        <v>Resumenes por Partidos Judiciales  CASTELLO DE LA PLANA-CASTELLON DE LA PLANA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8</v>
      </c>
      <c r="C9" s="409">
        <f>Datos!AQ9</f>
        <v>8</v>
      </c>
      <c r="D9" s="402">
        <f>IF(ISNUMBER(Datos!M9),Datos!M9," - ")</f>
        <v>1351</v>
      </c>
      <c r="E9" s="403">
        <f t="shared" ref="E9:E13" si="0">IF(ISNUMBER(D9/B9),D9/B9," - ")</f>
        <v>168.875</v>
      </c>
      <c r="F9" s="402">
        <f>IF(ISNUMBER(Datos!N9),Datos!N9," - ")</f>
        <v>1237</v>
      </c>
      <c r="G9" s="403">
        <f t="shared" ref="G9:G13" si="1">IF(ISNUMBER(F9/B9),F9/B9," - ")</f>
        <v>154.625</v>
      </c>
      <c r="H9" s="402">
        <f>IF(ISNUMBER(Datos!O9),Datos!O9," - ")</f>
        <v>1543</v>
      </c>
      <c r="I9" s="403">
        <f>IF(ISNUMBER(H9/B9),H9/B9," - ")</f>
        <v>192.875</v>
      </c>
      <c r="BZ9" s="1181">
        <f>Datos!EZ9</f>
        <v>0</v>
      </c>
    </row>
    <row r="10" spans="1:78">
      <c r="A10" s="401" t="str">
        <f>Datos!A10</f>
        <v>Sección De Violencia sobre la Mujer del TI</v>
      </c>
      <c r="B10" s="426">
        <f>Datos!AO10</f>
        <v>2</v>
      </c>
      <c r="C10" s="409">
        <f>Datos!AQ10</f>
        <v>2</v>
      </c>
      <c r="D10" s="402">
        <f>IF(ISNUMBER(Datos!M10),Datos!M10," - ")</f>
        <v>26</v>
      </c>
      <c r="E10" s="403">
        <f>IF(ISNUMBER(D10/B10),D10/B10," - ")</f>
        <v>13</v>
      </c>
      <c r="F10" s="402">
        <f>IF(ISNUMBER(Datos!N10),Datos!N10," - ")</f>
        <v>28</v>
      </c>
      <c r="G10" s="403">
        <f>IF(ISNUMBER(F10/B10),F10/B10," - ")</f>
        <v>14</v>
      </c>
      <c r="H10" s="402">
        <f>IF(ISNUMBER(Datos!O10),Datos!O10," - ")</f>
        <v>11</v>
      </c>
      <c r="I10" s="403">
        <f t="shared" ref="I10:I12" si="2">IF(ISNUMBER(H10/B10),H10/B10," - ")</f>
        <v>5.5</v>
      </c>
      <c r="BZ10" s="1181">
        <f>Datos!EZ10</f>
        <v>0</v>
      </c>
    </row>
    <row r="11" spans="1:78">
      <c r="A11" s="401" t="str">
        <f>Datos!A11</f>
        <v xml:space="preserve">Sección de Familia, infancia y capacidad del TI                           </v>
      </c>
      <c r="B11" s="426">
        <f>Datos!AO11</f>
        <v>2</v>
      </c>
      <c r="C11" s="409">
        <f>Datos!AQ11</f>
        <v>2</v>
      </c>
      <c r="D11" s="402">
        <f>IF(ISNUMBER(Datos!M11),Datos!M11," - ")</f>
        <v>205</v>
      </c>
      <c r="E11" s="403">
        <f t="shared" si="0"/>
        <v>102.5</v>
      </c>
      <c r="F11" s="402">
        <f>IF(ISNUMBER(Datos!N11),Datos!N11," - ")</f>
        <v>425</v>
      </c>
      <c r="G11" s="403">
        <f t="shared" si="1"/>
        <v>212.5</v>
      </c>
      <c r="H11" s="402">
        <f>IF(ISNUMBER(Datos!O11),Datos!O11," - ")</f>
        <v>245</v>
      </c>
      <c r="I11" s="403">
        <f t="shared" si="2"/>
        <v>122.5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12</v>
      </c>
      <c r="C13" s="848">
        <f>Datos!AR13</f>
        <v>12</v>
      </c>
      <c r="D13" s="846">
        <f>SUBTOTAL(9,D9:D12)</f>
        <v>1582</v>
      </c>
      <c r="E13" s="847">
        <f t="shared" si="0"/>
        <v>131.83333333333334</v>
      </c>
      <c r="F13" s="846">
        <f>SUBTOTAL(9,F9:F12)</f>
        <v>1690</v>
      </c>
      <c r="G13" s="847">
        <f t="shared" si="1"/>
        <v>140.83333333333334</v>
      </c>
      <c r="H13" s="846">
        <f>SUBTOTAL(9,H9:H12)</f>
        <v>1799</v>
      </c>
      <c r="I13" s="847">
        <f>IF(ISNUMBER(H13/B13),H13/B13," - ")</f>
        <v>149.91666666666666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339</v>
      </c>
      <c r="E15" s="403">
        <f t="shared" ref="E15:E19" si="3">IF(ISNUMBER(D15/B15),D15/B15," - ")</f>
        <v>67.8</v>
      </c>
      <c r="F15" s="402">
        <f>IF(ISNUMBER(Datos!N15),Datos!N15," - ")</f>
        <v>2372</v>
      </c>
      <c r="G15" s="403">
        <f t="shared" ref="G15:G19" si="4">IF(ISNUMBER(F15/B15),F15/B15," - ")</f>
        <v>474.4</v>
      </c>
      <c r="H15" s="402">
        <f>IF(ISNUMBER(Datos!O15),Datos!O15," - ")</f>
        <v>28</v>
      </c>
      <c r="I15" s="403">
        <f t="shared" ref="I15:I18" si="5">IF(ISNUMBER(H15/B15),H15/B15," - ")</f>
        <v>5.6</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70</v>
      </c>
      <c r="E18" s="403">
        <f>IF(ISNUMBER(D18/B18),D18/B18," - ")</f>
        <v>35</v>
      </c>
      <c r="F18" s="402">
        <f>IF(ISNUMBER(Datos!N18),Datos!N18," - ")</f>
        <v>257</v>
      </c>
      <c r="G18" s="403">
        <f>IF(ISNUMBER(F18/B18),F18/B18," - ")</f>
        <v>128.5</v>
      </c>
      <c r="H18" s="402">
        <f>IF(ISNUMBER(Datos!O18),Datos!O18," - ")</f>
        <v>3</v>
      </c>
      <c r="I18" s="403">
        <f t="shared" si="5"/>
        <v>1.5</v>
      </c>
      <c r="BZ18" s="1181">
        <f>Datos!EZ18</f>
        <v>0</v>
      </c>
    </row>
    <row r="19" spans="1:78" ht="14.25" thickTop="1" thickBot="1">
      <c r="A19" s="845" t="str">
        <f>Datos!A19</f>
        <v>TOTAL</v>
      </c>
      <c r="B19" s="846">
        <f>Datos!AP19</f>
        <v>7</v>
      </c>
      <c r="C19" s="848">
        <f>Datos!AR19</f>
        <v>7</v>
      </c>
      <c r="D19" s="846">
        <f>SUBTOTAL(9,D15:D18)</f>
        <v>409</v>
      </c>
      <c r="E19" s="847">
        <f t="shared" si="3"/>
        <v>58.428571428571431</v>
      </c>
      <c r="F19" s="846">
        <f>SUBTOTAL(9,F15:F18)</f>
        <v>2629</v>
      </c>
      <c r="G19" s="847">
        <f t="shared" si="4"/>
        <v>375.57142857142856</v>
      </c>
      <c r="H19" s="846">
        <f>SUBTOTAL(9,H15:H18)</f>
        <v>31</v>
      </c>
      <c r="I19" s="847">
        <f>IF(ISNUMBER(H19/B19),H19/B19," - ")</f>
        <v>4.4285714285714288</v>
      </c>
      <c r="BZ19" s="1181"/>
    </row>
    <row r="20" spans="1:78" ht="14.25" thickTop="1" thickBot="1">
      <c r="A20" s="790" t="str">
        <f>Datos!A20</f>
        <v>TOTAL JURISDICCIONES</v>
      </c>
      <c r="B20" s="791">
        <f>Datos!AP20</f>
        <v>17</v>
      </c>
      <c r="C20" s="791">
        <f>Datos!AR20</f>
        <v>17</v>
      </c>
      <c r="D20" s="791">
        <f>SUBTOTAL(9,D8:D19)</f>
        <v>1991</v>
      </c>
      <c r="E20" s="792">
        <f>IF(ISNUMBER(D20/B20),D20/B20," - ")</f>
        <v>117.11764705882354</v>
      </c>
      <c r="F20" s="791">
        <f>SUBTOTAL(9,F8:F19)</f>
        <v>4319</v>
      </c>
      <c r="G20" s="792">
        <f>IF(ISNUMBER(F20/B20),F20/B20," - ")</f>
        <v>254.05882352941177</v>
      </c>
      <c r="H20" s="791">
        <f>SUBTOTAL(9,H8:H19)</f>
        <v>1830</v>
      </c>
      <c r="I20" s="792">
        <f>IF(ISNUMBER(H20/B20),H20/B20," - ")</f>
        <v>107.64705882352941</v>
      </c>
    </row>
    <row r="23" spans="1:78">
      <c r="A23" s="390" t="str">
        <f>Criterios!A4</f>
        <v>Fecha Informe: 06 oct. 2026</v>
      </c>
    </row>
    <row r="28" spans="1:78">
      <c r="A28" s="413"/>
    </row>
  </sheetData>
  <sheetProtection algorithmName="SHA-512" hashValue="fnqsTlgdZBVyEumrxoKrIw20v57J2mPgiVLu6iSozZHD/Sx6K6xupgEOyy4AVLvfGWZdrVialumUBadTOSH6Gg==" saltValue="U+DnYy2HdSGGh2fGz5gai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CASTELLON-CASTELLO</v>
      </c>
    </row>
    <row r="4" spans="1:4" ht="13.5" thickBot="1">
      <c r="B4" s="390" t="str">
        <f>Criterios!A11 &amp;"  "&amp;Criterios!B11</f>
        <v>Resumenes por Partidos Judiciales  CASTELLO DE LA PLANA-CASTELLON DE LA PLANA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776</v>
      </c>
      <c r="C9" s="433">
        <f>IF(ISNUMBER(Datos!Q9),Datos!Q9," - ")</f>
        <v>803</v>
      </c>
      <c r="D9" s="407">
        <f>IF(ISNUMBER(Datos!R9),Datos!R9," - ")</f>
        <v>18966</v>
      </c>
    </row>
    <row r="10" spans="1:4">
      <c r="A10" s="401" t="str">
        <f>Datos!A10</f>
        <v>Sección De Violencia sobre la Mujer del TI</v>
      </c>
      <c r="B10" s="432">
        <f>IF(ISNUMBER(Datos!P10),Datos!P10," - ")</f>
        <v>18</v>
      </c>
      <c r="C10" s="433">
        <f>IF(ISNUMBER(Datos!Q10),Datos!Q10," - ")</f>
        <v>6</v>
      </c>
      <c r="D10" s="407">
        <f>IF(ISNUMBER(Datos!R10),Datos!R10," - ")</f>
        <v>234</v>
      </c>
    </row>
    <row r="11" spans="1:4">
      <c r="A11" s="401" t="str">
        <f>Datos!A11</f>
        <v xml:space="preserve">Sección de Familia, infancia y capacidad del TI                           </v>
      </c>
      <c r="B11" s="432">
        <f>IF(ISNUMBER(Datos!P11),Datos!P11," - ")</f>
        <v>61</v>
      </c>
      <c r="C11" s="433">
        <f>IF(ISNUMBER(Datos!Q11),Datos!Q11," - ")</f>
        <v>57</v>
      </c>
      <c r="D11" s="407">
        <f>IF(ISNUMBER(Datos!R11),Datos!R11," - ")</f>
        <v>1173</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855</v>
      </c>
      <c r="C13" s="850">
        <f>SUBTOTAL(9,C9:C12)</f>
        <v>866</v>
      </c>
      <c r="D13" s="848">
        <f>SUBTOTAL(9,D9:D12)</f>
        <v>20373</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58</v>
      </c>
      <c r="C15" s="433">
        <f>IF(ISNUMBER(Datos!Q15),Datos!Q15," - ")</f>
        <v>61</v>
      </c>
      <c r="D15" s="407">
        <f>IF(ISNUMBER(Datos!R15),Datos!R15," - ")</f>
        <v>645</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2</v>
      </c>
      <c r="C18" s="433">
        <f>IF(ISNUMBER(Datos!Q18),Datos!Q18," - ")</f>
        <v>3</v>
      </c>
      <c r="D18" s="407">
        <f>IF(ISNUMBER(Datos!R18),Datos!R18," - ")</f>
        <v>9</v>
      </c>
    </row>
    <row r="19" spans="1:4" ht="14.25" thickTop="1" thickBot="1">
      <c r="A19" s="845" t="str">
        <f>Datos!A19</f>
        <v>TOTAL</v>
      </c>
      <c r="B19" s="846">
        <f>SUBTOTAL(9,B15:B18)</f>
        <v>60</v>
      </c>
      <c r="C19" s="850">
        <f>SUBTOTAL(9,C15:C18)</f>
        <v>64</v>
      </c>
      <c r="D19" s="848">
        <f>SUBTOTAL(9,D15:D18)</f>
        <v>654</v>
      </c>
    </row>
    <row r="20" spans="1:4" ht="16.5" customHeight="1" thickTop="1" thickBot="1">
      <c r="A20" s="790" t="str">
        <f>Datos!A20</f>
        <v>TOTAL JURISDICCIONES</v>
      </c>
      <c r="B20" s="795">
        <f>SUBTOTAL(9,B8:B19)</f>
        <v>915</v>
      </c>
      <c r="C20" s="796">
        <f>SUBTOTAL(9,C8:C19)</f>
        <v>930</v>
      </c>
      <c r="D20" s="797">
        <f>SUBTOTAL(9,D8:D19)</f>
        <v>21027</v>
      </c>
    </row>
    <row r="21" spans="1:4" ht="7.5" customHeight="1"/>
    <row r="22" spans="1:4" ht="6" customHeight="1"/>
    <row r="23" spans="1:4">
      <c r="A23" s="390" t="str">
        <f>Criterios!A4</f>
        <v>Fecha Informe: 06 oct. 2026</v>
      </c>
    </row>
    <row r="28" spans="1:4">
      <c r="A28" s="413"/>
    </row>
  </sheetData>
  <sheetProtection algorithmName="SHA-512" hashValue="FeBtSVab2fiURBTqQzRBoxUFlBm1HOn5SMgQgupmAyAFSSLpwRWn/RIzgXSfiqASrGnOMhgEWpYNBfiAAesM1Q==" saltValue="vz3R1jmbkq7gGO7/T3jQ/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CASTELLON-CASTELLO</v>
      </c>
    </row>
    <row r="4" spans="1:11" ht="10.5" customHeight="1" thickBot="1">
      <c r="B4" s="390" t="str">
        <f>Criterios!A11 &amp;"  "&amp;Criterios!B11</f>
        <v>Resumenes por Partidos Judiciales  CASTELLO DE LA PLANA-CASTELLON DE LA PLANA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-0.12746186663549763</v>
      </c>
      <c r="C9" s="455">
        <f>IF(ISNUMBER(
   IF(J_V="SI",(Datos!J9-Datos!T9)/Datos!T9,(Datos!J9+Datos!Z9-(Datos!T9+Datos!AH9))/(Datos!T9+Datos!AH9))
     ),IF(J_V="SI",(Datos!J9-Datos!T9)/Datos!T9,(Datos!J9+Datos!Z9-(Datos!T9+Datos!AH9))/(Datos!T9+Datos!AH9))," - ")</f>
        <v>-0.23617560151962855</v>
      </c>
      <c r="D9" s="455">
        <f>IF(ISNUMBER(
   IF(J_V="SI",(Datos!K9-Datos!U9)/Datos!U9,(Datos!K9+Datos!AA9-(Datos!U9+Datos!AI9))/(Datos!U9+Datos!AI9))
     ),IF(J_V="SI",(Datos!K9-Datos!U9)/Datos!U9,(Datos!K9+Datos!AA9-(Datos!U9+Datos!AI9))/(Datos!U9+Datos!AI9))," - ")</f>
        <v>-0.25790492579049257</v>
      </c>
      <c r="E9" s="455">
        <f>IF(ISNUMBER(
   IF(J_V="SI",(Datos!L9-Datos!V9)/Datos!V9,(Datos!L9+Datos!AB9-(Datos!V9+Datos!AJ9))/(Datos!V9+Datos!AJ9))
     ),IF(J_V="SI",(Datos!L9-Datos!V9)/Datos!V9,(Datos!L9+Datos!AB9-(Datos!V9+Datos!AJ9))/(Datos!V9+Datos!AJ9))," - ")</f>
        <v>-0.14239463819152562</v>
      </c>
      <c r="F9" s="455">
        <f>IF(ISNUMBER((Datos!M9-Datos!W9)/Datos!W9),(Datos!M9-Datos!W9)/Datos!W9," - ")</f>
        <v>7.4571215510812828E-3</v>
      </c>
      <c r="G9" s="456">
        <f>IF(ISNUMBER((Datos!N9-Datos!X9)/Datos!X9),(Datos!N9-Datos!X9)/Datos!X9," - ")</f>
        <v>-0.29715909090909093</v>
      </c>
      <c r="H9" s="454">
        <f>IF(ISNUMBER(((NºAsuntos!G9/NºAsuntos!E9)-Datos!BD9)/Datos!BD9),((NºAsuntos!G9/NºAsuntos!E9)-Datos!BD9)/Datos!BD9," - ")</f>
        <v>-2.8448062557434053E-2</v>
      </c>
      <c r="I9" s="455">
        <f>IF(ISNUMBER(((NºAsuntos!I9/NºAsuntos!G9)-Datos!BE9)/Datos!BE9),((NºAsuntos!I9/NºAsuntos!G9)-Datos!BE9)/Datos!BE9," - ")</f>
        <v>0.15565429769495576</v>
      </c>
      <c r="J9" s="460">
        <f>IF(ISNUMBER((('Resol  Asuntos'!D9/NºAsuntos!G9)-Datos!BF9)/Datos!BF9),(('Resol  Asuntos'!D9/NºAsuntos!G9)-Datos!BF9)/Datos!BF9," - ")</f>
        <v>3.438718708827404E-2</v>
      </c>
      <c r="K9" s="461">
        <f>IF(ISNUMBER((((NºAsuntos!C9+NºAsuntos!E9)/NºAsuntos!G9)-Datos!BG9)/Datos!BG9),(((NºAsuntos!C9+NºAsuntos!E9)/NºAsuntos!G9)-Datos!BG9)/Datos!BG9," - ")</f>
        <v>0.14400885922547438</v>
      </c>
    </row>
    <row r="10" spans="1:11" ht="21">
      <c r="A10" s="401" t="str">
        <f>Datos!A10</f>
        <v>Sección De Violencia sobre la Mujer del TI</v>
      </c>
      <c r="B10" s="454">
        <f>IF(ISNUMBER((Datos!I10-Datos!S10)/Datos!S10),(Datos!I10-Datos!S10)/Datos!S10," - ")</f>
        <v>-0.23580786026200873</v>
      </c>
      <c r="C10" s="455">
        <f>IF(ISNUMBER((Datos!J10-Datos!T10)/Datos!T10),(Datos!J10-Datos!T10)/Datos!T10," - ")</f>
        <v>-3.2258064516129031E-2</v>
      </c>
      <c r="D10" s="455">
        <f>IF(ISNUMBER((Datos!K10-Datos!U10)/Datos!U10),(Datos!K10-Datos!U10)/Datos!U10," - ")</f>
        <v>0.71111111111111114</v>
      </c>
      <c r="E10" s="455">
        <f>IF(ISNUMBER((Datos!L10-Datos!V10)/Datos!V10),(Datos!L10-Datos!V10)/Datos!V10," - ")</f>
        <v>-0.35772357723577236</v>
      </c>
      <c r="F10" s="455">
        <f>IF(ISNUMBER((Datos!M10-Datos!W10)/Datos!W10),(Datos!M10-Datos!W10)/Datos!W10," - ")</f>
        <v>0.3</v>
      </c>
      <c r="G10" s="456" t="str">
        <f>IF(ISNUMBER((Datos!N10-Datos!X10)/Datos!X10),(Datos!N10-Datos!X10)/Datos!X10," - ")</f>
        <v xml:space="preserve"> - </v>
      </c>
      <c r="H10" s="454">
        <f>IF(ISNUMBER(((NºAsuntos!G10/NºAsuntos!E10)-Datos!BD10)/Datos!BD10),((NºAsuntos!G10/NºAsuntos!E10)-Datos!BD10)/Datos!BD10," - ")</f>
        <v>0.76814814814814825</v>
      </c>
      <c r="I10" s="455">
        <f>IF(ISNUMBER(((NºAsuntos!I10/NºAsuntos!G10)-Datos!BE10)/Datos!BE10),((NºAsuntos!I10/NºAsuntos!G10)-Datos!BE10)/Datos!BE10," - ")</f>
        <v>-0.62464364903389291</v>
      </c>
      <c r="J10" s="460">
        <f>IF(ISNUMBER((('Resol  Asuntos'!D10/NºAsuntos!G10)-Datos!BF10)/Datos!BF10),(('Resol  Asuntos'!D10/NºAsuntos!G10)-Datos!BF10)/Datos!BF10," - ")</f>
        <v>-0.2402597402597402</v>
      </c>
      <c r="K10" s="461">
        <f>IF(ISNUMBER((((NºAsuntos!C10+NºAsuntos!E10)/NºAsuntos!G10)-Datos!BG10)/Datos!BG10),(((NºAsuntos!C10+NºAsuntos!E10)/NºAsuntos!G10)-Datos!BG10)/Datos!BG10," - ")</f>
        <v>-0.52804927031731153</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8.0769230769230774E-2</v>
      </c>
      <c r="C11" s="455">
        <f>IF(ISNUMBER(
   IF(J_V="SI",(Datos!J11-Datos!T11)/Datos!T11,(Datos!J11+Datos!Z11-(Datos!T11+Datos!AH11))/(Datos!T11+Datos!AH11))
     ),IF(J_V="SI",(Datos!J11-Datos!T11)/Datos!T11,(Datos!J11+Datos!Z11-(Datos!T11+Datos!AH11))/(Datos!T11+Datos!AH11))," - ")</f>
        <v>0.12236286919831224</v>
      </c>
      <c r="D11" s="455">
        <f>IF(ISNUMBER(
   IF(J_V="SI",(Datos!K11-Datos!U11)/Datos!U11,(Datos!K11+Datos!AA11-(Datos!U11+Datos!AI11))/(Datos!U11+Datos!AI11))
     ),IF(J_V="SI",(Datos!K11-Datos!U11)/Datos!U11,(Datos!K11+Datos!AA11-(Datos!U11+Datos!AI11))/(Datos!U11+Datos!AI11))," - ")</f>
        <v>0.16736401673640167</v>
      </c>
      <c r="E11" s="455">
        <f>IF(ISNUMBER(
   IF(J_V="SI",(Datos!L11-Datos!V11)/Datos!V11,(Datos!L11+Datos!AB11-(Datos!V11+Datos!AJ11))/(Datos!V11+Datos!AJ11))
     ),IF(J_V="SI",(Datos!L11-Datos!V11)/Datos!V11,(Datos!L11+Datos!AB11-(Datos!V11+Datos!AJ11))/(Datos!V11+Datos!AJ11))," - ")</f>
        <v>3.875968992248062E-2</v>
      </c>
      <c r="F11" s="455">
        <f>IF(ISNUMBER((Datos!M11-Datos!W11)/Datos!W11),(Datos!M11-Datos!W11)/Datos!W11," - ")</f>
        <v>1.9900497512437811E-2</v>
      </c>
      <c r="G11" s="456">
        <f>IF(ISNUMBER((Datos!N11-Datos!X11)/Datos!X11),(Datos!N11-Datos!X11)/Datos!X11," - ")</f>
        <v>-9.324009324009324E-3</v>
      </c>
      <c r="H11" s="454">
        <f>IF(ISNUMBER(((NºAsuntos!G11/NºAsuntos!E11)-Datos!BD11)/Datos!BD11),((NºAsuntos!G11/NºAsuntos!E11)-Datos!BD11)/Datos!BD11," - ")</f>
        <v>4.0095007392959514E-2</v>
      </c>
      <c r="I11" s="455">
        <f>IF(ISNUMBER(((NºAsuntos!I11/NºAsuntos!G11)-Datos!BE11)/Datos!BE11),((NºAsuntos!I11/NºAsuntos!G11)-Datos!BE11)/Datos!BE11," - ")</f>
        <v>-0.11016643049651309</v>
      </c>
      <c r="J11" s="460">
        <f>IF(ISNUMBER((('Resol  Asuntos'!D11/NºAsuntos!G11)-Datos!BF11)/Datos!BF11),(('Resol  Asuntos'!D11/NºAsuntos!G11)-Datos!BF11)/Datos!BF11," - ")</f>
        <v>-0.59065426807362287</v>
      </c>
      <c r="K11" s="461">
        <f>IF(ISNUMBER((((NºAsuntos!C11+NºAsuntos!E11)/NºAsuntos!G11)-Datos!BG11)/Datos!BG11),(((NºAsuntos!C11+NºAsuntos!E11)/NºAsuntos!G11)-Datos!BG11)/Datos!BG11," - ")</f>
        <v>-5.7189012209457497E-2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-0.11986754966887417</v>
      </c>
      <c r="C13" s="852">
        <f>IF(ISNUMBER(
   IF(J_V="SI",(Datos!J13-Datos!T13)/Datos!T13,(Datos!J13+Datos!Z13-(Datos!T13+Datos!AH13))/(Datos!T13+Datos!AH13))
     ),IF(J_V="SI",(Datos!J13-Datos!T13)/Datos!T13,(Datos!J13+Datos!Z13-(Datos!T13+Datos!AH13))/(Datos!T13+Datos!AH13))," - ")</f>
        <v>-0.18762475049900199</v>
      </c>
      <c r="D13" s="852">
        <f>IF(ISNUMBER(
   IF(J_V="SI",(Datos!K13-Datos!U13)/Datos!U13,(Datos!K13+Datos!AA13-(Datos!U13+Datos!AI13))/(Datos!U13+Datos!AI13))
     ),IF(J_V="SI",(Datos!K13-Datos!U13)/Datos!U13,(Datos!K13+Datos!AA13-(Datos!U13+Datos!AI13))/(Datos!U13+Datos!AI13))," - ")</f>
        <v>-0.1934947329513953</v>
      </c>
      <c r="E13" s="852">
        <f>IF(ISNUMBER(
   IF(J_V="SI",(Datos!L13-Datos!V13)/Datos!V13,(Datos!L13+Datos!AB13-(Datos!V13+Datos!AJ13))/(Datos!V13+Datos!AJ13))
     ),IF(J_V="SI",(Datos!L13-Datos!V13)/Datos!V13,(Datos!L13+Datos!AB13-(Datos!V13+Datos!AJ13))/(Datos!V13+Datos!AJ13))," - ")</f>
        <v>-0.13771072694083539</v>
      </c>
      <c r="F13" s="853">
        <f>IF(ISNUMBER((Datos!M13-Datos!W13)/Datos!W13),(Datos!M13-Datos!W13)/Datos!W13," - ")</f>
        <v>1.2804097311139564E-2</v>
      </c>
      <c r="G13" s="854">
        <f>IF(ISNUMBER((Datos!N13-Datos!X13)/Datos!X13),(Datos!N13-Datos!X13)/Datos!X13," - ")</f>
        <v>-0.22795797167656465</v>
      </c>
      <c r="H13" s="854">
        <f>IF(ISNUMBER(((NºAsuntos!G13/NºAsuntos!E13)-Datos!BD13)/Datos!BD13),((NºAsuntos!G13/NºAsuntos!E13)-Datos!BD13)/Datos!BD13," - ")</f>
        <v>-7.2257032153539846E-3</v>
      </c>
      <c r="I13" s="854">
        <f>IF(ISNUMBER(((NºAsuntos!I13/NºAsuntos!G13)-Datos!BE13)/Datos!BE13),((NºAsuntos!I13/NºAsuntos!G13)-Datos!BE13)/Datos!BE13," - ")</f>
        <v>6.9167565656081398E-2</v>
      </c>
      <c r="J13" s="854">
        <f>IF(ISNUMBER((('Resol  Asuntos'!D13/NºAsuntos!G13)-Datos!BF13)/Datos!BF13),(('Resol  Asuntos'!D13/NºAsuntos!G13)-Datos!BF13)/Datos!BF13," - ")</f>
        <v>-0.11201924134208077</v>
      </c>
      <c r="K13" s="854">
        <f>IF(ISNUMBER((((NºAsuntos!C13+NºAsuntos!E13)/NºAsuntos!G13)-Datos!BG13)/Datos!BG13),(((NºAsuntos!C13+NºAsuntos!E13)/NºAsuntos!G13)-Datos!BG13)/Datos!BG13," - ")</f>
        <v>7.1698831107874089E-2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-1.3521819299323909E-2</v>
      </c>
      <c r="C15" s="455">
        <f>IF(ISNUMBER(
   IF(D_I="SI",(Datos!J15-Datos!T15)/Datos!T15,(Datos!J15+Datos!AD15-(Datos!T15+Datos!AL15))/(Datos!T15+Datos!AL15))
     ),IF(D_I="SI",(Datos!J15-Datos!T15)/Datos!T15,(Datos!J15+Datos!AD15-(Datos!T15+Datos!AL15))/(Datos!T15+Datos!AL15))," - ")</f>
        <v>0.15483668341708542</v>
      </c>
      <c r="D15" s="455">
        <f>IF(ISNUMBER(
   IF(D_I="SI",(Datos!K15-Datos!U15)/Datos!U15,(Datos!K15+Datos!AE15-(Datos!U15+Datos!AM15))/(Datos!U15+Datos!AM15))
     ),IF(D_I="SI",(Datos!K15-Datos!U15)/Datos!U15,(Datos!K15+Datos!AE15-(Datos!U15+Datos!AM15))/(Datos!U15+Datos!AM15))," - ")</f>
        <v>0.20967218435572865</v>
      </c>
      <c r="E15" s="455">
        <f>IF(ISNUMBER(
   IF(D_I="SI",(Datos!L15-Datos!V15)/Datos!V15,(Datos!L15+Datos!AF15-(Datos!V15+Datos!AN15))/(Datos!V15+Datos!AN15))
     ),IF(D_I="SI",(Datos!L15-Datos!V15)/Datos!V15,(Datos!L15+Datos!AF15-(Datos!V15+Datos!AN15))/(Datos!V15+Datos!AN15))," - ")</f>
        <v>-0.12820512820512819</v>
      </c>
      <c r="F15" s="455">
        <f>IF(ISNUMBER((Datos!M15-Datos!W15)/Datos!W15),(Datos!M15-Datos!W15)/Datos!W15," - ")</f>
        <v>-0.26939655172413796</v>
      </c>
      <c r="G15" s="456">
        <f>IF(ISNUMBER((Datos!N15-Datos!X15)/Datos!X15),(Datos!N15-Datos!X15)/Datos!X15," - ")</f>
        <v>0.29901423877327493</v>
      </c>
      <c r="H15" s="454">
        <f>IF(ISNUMBER(((NºAsuntos!G15/NºAsuntos!E15)-Datos!BD15)/Datos!BD15),((NºAsuntos!G15/NºAsuntos!E15)-Datos!BD15)/Datos!BD15," - ")</f>
        <v>4.7483338316192551E-2</v>
      </c>
      <c r="I15" s="455">
        <f>IF(ISNUMBER(((NºAsuntos!I15/NºAsuntos!G15)-Datos!BE15)/Datos!BE15),((NºAsuntos!I15/NºAsuntos!G15)-Datos!BE15)/Datos!BE15," - ")</f>
        <v>-0.27931312047222973</v>
      </c>
      <c r="J15" s="460">
        <f>IF(ISNUMBER((('Resol  Asuntos'!D15/NºAsuntos!G15)-Datos!BF15)/Datos!BF15),(('Resol  Asuntos'!D15/NºAsuntos!G15)-Datos!BF15)/Datos!BF15," - ")</f>
        <v>-0.39603186902658138</v>
      </c>
      <c r="K15" s="461">
        <f>IF(ISNUMBER((((NºAsuntos!C15+NºAsuntos!E15)/NºAsuntos!G15)-Datos!BG15)/Datos!BG15),(((NºAsuntos!C15+NºAsuntos!E15)/NºAsuntos!G15)-Datos!BG15)/Datos!BG15," - ")</f>
        <v>-0.12956184582238708</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0.63551401869158874</v>
      </c>
      <c r="C18" s="455">
        <f>IF(ISNUMBER(
   IF(D_I="SI",(Datos!J18-Datos!T18)/Datos!T18,(Datos!J18+Datos!AD18-(Datos!T18+Datos!AL18))/(Datos!T18+Datos!AL18))
     ),IF(D_I="SI",(Datos!J18-Datos!T18)/Datos!T18,(Datos!J18+Datos!AD18-(Datos!T18+Datos!AL18))/(Datos!T18+Datos!AL18))," - ")</f>
        <v>0.15384615384615385</v>
      </c>
      <c r="D18" s="455">
        <f>IF(ISNUMBER(
   IF(D_I="SI",(Datos!K18-Datos!U18)/Datos!U18,(Datos!K18+Datos!AE18-(Datos!U18+Datos!AM18))/(Datos!U18+Datos!AM18))
     ),IF(D_I="SI",(Datos!K18-Datos!U18)/Datos!U18,(Datos!K18+Datos!AE18-(Datos!U18+Datos!AM18))/(Datos!U18+Datos!AM18))," - ")</f>
        <v>1.6E-2</v>
      </c>
      <c r="E18" s="455">
        <f>IF(ISNUMBER(
   IF(D_I="SI",(Datos!L18-Datos!V18)/Datos!V18,(Datos!L18+Datos!AF18-(Datos!V18+Datos!AN18))/(Datos!V18+Datos!AN18))
     ),IF(D_I="SI",(Datos!L18-Datos!V18)/Datos!V18,(Datos!L18+Datos!AF18-(Datos!V18+Datos!AN18))/(Datos!V18+Datos!AN18))," - ")</f>
        <v>0.91826923076923073</v>
      </c>
      <c r="F18" s="455">
        <f>IF(ISNUMBER((Datos!M18-Datos!W18)/Datos!W18),(Datos!M18-Datos!W18)/Datos!W18," - ")</f>
        <v>-0.2391304347826087</v>
      </c>
      <c r="G18" s="456">
        <f>IF(ISNUMBER((Datos!N18-Datos!X18)/Datos!X18),(Datos!N18-Datos!X18)/Datos!X18," - ")</f>
        <v>0.26600985221674878</v>
      </c>
      <c r="H18" s="454">
        <f>IF(ISNUMBER(((NºAsuntos!G18/NºAsuntos!E18)-Datos!BD18)/Datos!BD18),((NºAsuntos!G18/NºAsuntos!E18)-Datos!BD18)/Datos!BD18," - ")</f>
        <v>-0.11946666666666668</v>
      </c>
      <c r="I18" s="455">
        <f>IF(ISNUMBER(((NºAsuntos!I18/NºAsuntos!G18)-Datos!BE18)/Datos!BE18),((NºAsuntos!I18/NºAsuntos!G18)-Datos!BE18)/Datos!BE18," - ")</f>
        <v>0.88806026650514858</v>
      </c>
      <c r="J18" s="460">
        <f>IF(ISNUMBER((('Resol  Asuntos'!D18/NºAsuntos!G18)-Datos!BF18)/Datos!BF18),(('Resol  Asuntos'!D18/NºAsuntos!G18)-Datos!BF18)/Datos!BF18," - ")</f>
        <v>-0.25111263266004791</v>
      </c>
      <c r="K18" s="461">
        <f>IF(ISNUMBER((((NºAsuntos!C18+NºAsuntos!E18)/NºAsuntos!G18)-Datos!BG18)/Datos!BG18),(((NºAsuntos!C18+NºAsuntos!E18)/NºAsuntos!G18)-Datos!BG18)/Datos!BG18," - ")</f>
        <v>0.27897148449664128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1.3738959764474975E-2</v>
      </c>
      <c r="C19" s="852">
        <f>IF(ISNUMBER(
   IF(Criterios!B14="SI",(Datos!J19-Datos!T19)/Datos!T19,(Datos!J19+Datos!AD19-(Datos!T19+Datos!AL19))/(Datos!T19+Datos!AL19))
     ),IF(Criterios!B14="SI",(Datos!J19-Datos!T19)/Datos!T19,(Datos!J19+Datos!AD19-(Datos!T19+Datos!AL19))/(Datos!T19+Datos!AL19))," - ")</f>
        <v>0.1547036432843937</v>
      </c>
      <c r="D19" s="852">
        <f>IF(ISNUMBER(
   IF(Criterios!B14="SI",(Datos!K19-Datos!U19)/Datos!U19,(Datos!K19+Datos!AE19-(Datos!U19+Datos!AM19))/(Datos!U19+Datos!AM19))
     ),IF(Criterios!B14="SI",(Datos!K19-Datos!U19)/Datos!U19,(Datos!K19+Datos!AE19-(Datos!U19+Datos!AM19))/(Datos!U19+Datos!AM19))," - ")</f>
        <v>0.18263055012566323</v>
      </c>
      <c r="E19" s="852">
        <f>IF(ISNUMBER(
   IF(Criterios!B14="SI",(Datos!L19-Datos!V19)/Datos!V19,(Datos!L19+Datos!AF19-(Datos!V19+Datos!AN19))/(Datos!V19+Datos!AN19))
     ),IF(Criterios!B14="SI",(Datos!L19-Datos!V19)/Datos!V19,(Datos!L19+Datos!AF19-(Datos!V19+Datos!AN19))/(Datos!V19+Datos!AN19))," - ")</f>
        <v>-8.8434131189475601E-2</v>
      </c>
      <c r="F19" s="853">
        <f>IF(ISNUMBER((Datos!M19-Datos!W19)/Datos!W19),(Datos!M19-Datos!W19)/Datos!W19," - ")</f>
        <v>-0.26438848920863312</v>
      </c>
      <c r="G19" s="854">
        <f>IF(ISNUMBER((Datos!N19-Datos!X19)/Datos!X19),(Datos!N19-Datos!X19)/Datos!X19," - ")</f>
        <v>0.29571217348447509</v>
      </c>
      <c r="H19" s="854">
        <f>IF(ISNUMBER(((NºAsuntos!G19/NºAsuntos!E19)-Datos!BD19)/Datos!BD19),((NºAsuntos!G19/NºAsuntos!E19)-Datos!BD19)/Datos!BD19," - ")</f>
        <v>2.4185345741038273E-2</v>
      </c>
      <c r="I19" s="854">
        <f>IF(ISNUMBER(((NºAsuntos!I19/NºAsuntos!G19)-Datos!BE19)/Datos!BE19),((NºAsuntos!I19/NºAsuntos!G19)-Datos!BE19)/Datos!BE19," - ")</f>
        <v>-0.22920486984404054</v>
      </c>
      <c r="J19" s="854">
        <f>IF(ISNUMBER((('Resol  Asuntos'!D19/NºAsuntos!G19)-Datos!BF19)/Datos!BF19),(('Resol  Asuntos'!D19/NºAsuntos!G19)-Datos!BF19)/Datos!BF19," - ")</f>
        <v>-0.37798705545598943</v>
      </c>
      <c r="K19" s="854">
        <f>IF(ISNUMBER((((NºAsuntos!C19+NºAsuntos!E19)/NºAsuntos!G19)-Datos!BG19)/Datos!BG19),(((NºAsuntos!C19+NºAsuntos!E19)/NºAsuntos!G19)-Datos!BG19)/Datos!BG19," - ")</f>
        <v>-9.2838322366938009E-2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-9.054490631057506E-2</v>
      </c>
      <c r="C20" s="799">
        <f>IF(ISNUMBER(
   IF(J_V="SI",(Datos!J20-Datos!T20)/Datos!T20,(Datos!J20+Datos!Z20-(Datos!T20+Datos!AH20))/(Datos!T20+Datos!AH20))
     ),IF(J_V="SI",(Datos!J20-Datos!T20)/Datos!T20,(Datos!J20+Datos!Z20-(Datos!T20+Datos!AH20))/(Datos!T20+Datos!AH20))," - ")</f>
        <v>-5.0603983023179887E-2</v>
      </c>
      <c r="D20" s="799">
        <f>IF(ISNUMBER(
   IF(J_V="SI",(Datos!K20-Datos!U20)/Datos!U20,(Datos!K20+Datos!AA20-(Datos!U20+Datos!AI20))/(Datos!U20+Datos!AI20))
     ),IF(J_V="SI",(Datos!K20-Datos!U20)/Datos!U20,(Datos!K20+Datos!AA20-(Datos!U20+Datos!AI20))/(Datos!U20+Datos!AI20))," - ")</f>
        <v>-4.3705516014234877E-2</v>
      </c>
      <c r="E20" s="799">
        <f>IF(ISNUMBER(
   IF(J_V="SI",(Datos!L20-Datos!V20)/Datos!V20,(Datos!L20+Datos!AB20-(Datos!V20+Datos!AJ20))/(Datos!V20+Datos!AJ20))
     ),IF(J_V="SI",(Datos!L20-Datos!V20)/Datos!V20,(Datos!L20+Datos!AB20-(Datos!V20+Datos!AJ20))/(Datos!V20+Datos!AJ20))," - ")</f>
        <v>-0.1265197726046724</v>
      </c>
      <c r="F20" s="800">
        <f>IF(ISNUMBER((Datos!M20-Datos!W20)/Datos!W20),(Datos!M20-Datos!W20)/Datos!W20," - ")</f>
        <v>-5.996222851746931E-2</v>
      </c>
      <c r="G20" s="801">
        <f>IF(ISNUMBER((Datos!N20-Datos!X20)/Datos!X20),(Datos!N20-Datos!X20)/Datos!X20," - ")</f>
        <v>2.3944997629208157E-2</v>
      </c>
      <c r="H20" s="802">
        <f>IF(ISNUMBER((Tasas!B20-Datos!BD20)/Datos!BD20),(Tasas!B20-Datos!BD20)/Datos!BD20," - ")</f>
        <v>7.2661638405772649E-3</v>
      </c>
      <c r="I20" s="803">
        <f>IF(ISNUMBER((Tasas!C20-Datos!BE20)/Datos!BE20),(Tasas!C20-Datos!BE20)/Datos!BE20," - ")</f>
        <v>-8.6599115625213885E-2</v>
      </c>
      <c r="J20" s="804">
        <f>IF(ISNUMBER((Tasas!D20-Datos!BF20)/Datos!BF20),(Tasas!D20-Datos!BF20)/Datos!BF20," - ")</f>
        <v>-0.24701820956934525</v>
      </c>
      <c r="K20" s="804">
        <f>IF(ISNUMBER((Tasas!E20-Datos!BG20)/Datos!BG20),(Tasas!E20-Datos!BG20)/Datos!BG20," - ")</f>
        <v>-3.7136153733265641E-2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BeuEOCrdkCyqIiU+u01HevrLc8hRLKREAs4owa+mzQFBGbQH0J8bk8cJQfzzCi7pKXujGsMwNuq+7acSnB5uw==" saltValue="UsDl1jt9/6s1jY1VBa/kf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CASTELLON-CASTELLO</v>
      </c>
    </row>
    <row r="4" spans="1:7" ht="11.25" customHeight="1" thickBot="1">
      <c r="B4" s="390" t="str">
        <f>Criterios!A11 &amp;"  "&amp;Criterios!B11</f>
        <v>Resumenes por Partidos Judiciales  CASTELLO DE LA PLANA-CASTELLON DE LA PLANA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0.9533020171318044</v>
      </c>
      <c r="C9" s="442">
        <f>IF(ISNUMBER(NºAsuntos!I9/NºAsuntos!G9),NºAsuntos!I9/NºAsuntos!G9," - ")</f>
        <v>4.3765217391304345</v>
      </c>
      <c r="D9" s="443">
        <f>IF(ISNUMBER('Resol  Asuntos'!D9/NºAsuntos!G9),'Resol  Asuntos'!D9/NºAsuntos!G9," - ")</f>
        <v>0.39159420289855074</v>
      </c>
      <c r="E9" s="444">
        <f>IF(ISNUMBER((NºAsuntos!C9+NºAsuntos!E9)/NºAsuntos!G9),(NºAsuntos!C9+NºAsuntos!E9)/NºAsuntos!G9," - ")</f>
        <v>5.3765217391304345</v>
      </c>
      <c r="G9" s="462"/>
    </row>
    <row r="10" spans="1:7" ht="21">
      <c r="A10" s="401" t="str">
        <f>Datos!A10</f>
        <v>Sección De Violencia sobre la Mujer del TI</v>
      </c>
      <c r="B10" s="441">
        <f>IF(ISNUMBER(NºAsuntos!G10/NºAsuntos!E10),NºAsuntos!G10/NºAsuntos!E10," - ")</f>
        <v>1.2833333333333334</v>
      </c>
      <c r="C10" s="442">
        <f>IF(ISNUMBER(NºAsuntos!I10/NºAsuntos!G10),NºAsuntos!I10/NºAsuntos!G10," - ")</f>
        <v>2.051948051948052</v>
      </c>
      <c r="D10" s="443">
        <f>IF(ISNUMBER('Resol  Asuntos'!D10/NºAsuntos!G10),'Resol  Asuntos'!D10/NºAsuntos!G10," - ")</f>
        <v>0.33766233766233766</v>
      </c>
      <c r="E10" s="444">
        <f>IF(ISNUMBER((NºAsuntos!C10+NºAsuntos!E10)/NºAsuntos!G10),(NºAsuntos!C10+NºAsuntos!E10)/NºAsuntos!G10," - ")</f>
        <v>3.051948051948052</v>
      </c>
      <c r="G10" s="462"/>
    </row>
    <row r="11" spans="1:7" ht="21">
      <c r="A11" s="401" t="str">
        <f>Datos!A11</f>
        <v xml:space="preserve">Sección de Familia, infancia y capacidad del TI                           </v>
      </c>
      <c r="B11" s="441">
        <f>IF(ISNUMBER(NºAsuntos!G11/NºAsuntos!E11),NºAsuntos!G11/NºAsuntos!E11," - ")</f>
        <v>1.0488721804511278</v>
      </c>
      <c r="C11" s="442">
        <f>IF(ISNUMBER(NºAsuntos!I11/NºAsuntos!G11),NºAsuntos!I11/NºAsuntos!G11," - ")</f>
        <v>0.96057347670250892</v>
      </c>
      <c r="D11" s="443">
        <f>IF(ISNUMBER('Resol  Asuntos'!D11/NºAsuntos!G11),'Resol  Asuntos'!D11/NºAsuntos!G11," - ")</f>
        <v>0.24492234169653523</v>
      </c>
      <c r="E11" s="444">
        <f>IF(ISNUMBER((NºAsuntos!C11+NºAsuntos!E11)/NºAsuntos!G11),(NºAsuntos!C11+NºAsuntos!E11)/NºAsuntos!G11," - ")</f>
        <v>1.9605734767025089</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0.97475988385079293</v>
      </c>
      <c r="C13" s="856">
        <f>IF(ISNUMBER(NºAsuntos!I13/NºAsuntos!G13),NºAsuntos!I13/NºAsuntos!G13," - ")</f>
        <v>3.6803391384051327</v>
      </c>
      <c r="D13" s="857">
        <f>IF(ISNUMBER('Resol  Asuntos'!D13/NºAsuntos!G13),'Resol  Asuntos'!D13/NºAsuntos!G13," - ")</f>
        <v>0.36251145737855178</v>
      </c>
      <c r="E13" s="858">
        <f>IF(ISNUMBER((NºAsuntos!C13+NºAsuntos!E13)/NºAsuntos!G13),(NºAsuntos!C13+NºAsuntos!E13)/NºAsuntos!G13," - ")</f>
        <v>4.6803391384051327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1.013598041881969</v>
      </c>
      <c r="C15" s="442">
        <f>IF(ISNUMBER(NºAsuntos!I15/NºAsuntos!G15),NºAsuntos!I15/NºAsuntos!G15," - ")</f>
        <v>1.2315535283069492</v>
      </c>
      <c r="D15" s="443">
        <f>IF(ISNUMBER('Resol  Asuntos'!D15/NºAsuntos!G15),'Resol  Asuntos'!D15/NºAsuntos!G15," - ")</f>
        <v>9.0957874966460961E-2</v>
      </c>
      <c r="E15" s="444">
        <f>IF(ISNUMBER((NºAsuntos!C15+NºAsuntos!E15)/NºAsuntos!G15),(NºAsuntos!C15+NºAsuntos!E15)/NºAsuntos!G15," - ")</f>
        <v>2.278508183525624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0.89122807017543859</v>
      </c>
      <c r="C18" s="442">
        <f>IF(ISNUMBER(NºAsuntos!I18/NºAsuntos!G18),NºAsuntos!I18/NºAsuntos!G18," - ")</f>
        <v>0.78543307086614178</v>
      </c>
      <c r="D18" s="443">
        <f>IF(ISNUMBER('Resol  Asuntos'!D18/NºAsuntos!G18),'Resol  Asuntos'!D18/NºAsuntos!G18," - ")</f>
        <v>0.13779527559055119</v>
      </c>
      <c r="E18" s="444">
        <f>IF(ISNUMBER((NºAsuntos!C18+NºAsuntos!E18)/NºAsuntos!G18),(NºAsuntos!C18+NºAsuntos!E18)/NºAsuntos!G18," - ")</f>
        <v>1.811023622047244</v>
      </c>
      <c r="G18" s="462"/>
    </row>
    <row r="19" spans="1:7" ht="14.25" thickTop="1" thickBot="1">
      <c r="A19" s="845" t="str">
        <f>Datos!A19</f>
        <v>TOTAL</v>
      </c>
      <c r="B19" s="855">
        <f>IF(ISNUMBER(NºAsuntos!G19/NºAsuntos!E19),NºAsuntos!G19/NºAsuntos!E19," - ")</f>
        <v>0.99717447610077703</v>
      </c>
      <c r="C19" s="856">
        <f>IF(ISNUMBER(NºAsuntos!I19/NºAsuntos!G19),NºAsuntos!I19/NºAsuntos!G19," - ")</f>
        <v>1.1780401416765054</v>
      </c>
      <c r="D19" s="859">
        <f>IF(ISNUMBER('Resol  Asuntos'!D19/NºAsuntos!G19),'Resol  Asuntos'!D19/NºAsuntos!G19," - ")</f>
        <v>9.6576151121605669E-2</v>
      </c>
      <c r="E19" s="858">
        <f>IF(ISNUMBER((NºAsuntos!C19+NºAsuntos!E19)/NºAsuntos!G19),(NºAsuntos!C19+NºAsuntos!E19)/NºAsuntos!G19," - ")</f>
        <v>2.2224321133412044</v>
      </c>
      <c r="G19" s="462"/>
    </row>
    <row r="20" spans="1:7" ht="15.75" customHeight="1" thickTop="1" thickBot="1">
      <c r="A20" s="790" t="str">
        <f>Datos!A20</f>
        <v>TOTAL JURISDICCIONES</v>
      </c>
      <c r="B20" s="805">
        <f>IF(ISNUMBER(NºAsuntos!G20/NºAsuntos!E20),NºAsuntos!G20/NºAsuntos!E20," - ")</f>
        <v>0.9856717102246676</v>
      </c>
      <c r="C20" s="806">
        <f>IF(ISNUMBER(NºAsuntos!I20/NºAsuntos!G20),NºAsuntos!I20/NºAsuntos!G20," - ")</f>
        <v>2.4479590650075589</v>
      </c>
      <c r="D20" s="807">
        <f>IF(ISNUMBER('Resol  Asuntos'!D20/NºAsuntos!G20),'Resol  Asuntos'!D20/NºAsuntos!G20," - ")</f>
        <v>0.23153855099430165</v>
      </c>
      <c r="E20" s="808">
        <f>IF(ISNUMBER((NºAsuntos!C20+NºAsuntos!E20)/NºAsuntos!G20),(NºAsuntos!C20+NºAsuntos!E20)/NºAsuntos!G20," - ")</f>
        <v>3.4698220723339923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s+CDn1ZVwAFQFWHERVKXZMXsfm6biLwmEjivU/CWaDajmEDJJiLLAE7eaWgieBLxLSeNLU00i5ttbIQNKL/Aw==" saltValue="/vfpwvrAy1vBnTxxWqPn0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CASTELLON-CASTELLO</v>
      </c>
      <c r="N2" s="261" t="str">
        <f>Criterios!A11 &amp;"  "&amp;Criterios!B11</f>
        <v>Resumenes por Partidos Judiciales  CASTELLO DE LA PLANA-CASTELLON DE LA PLANA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8</v>
      </c>
      <c r="B9" s="176" t="s">
        <v>247</v>
      </c>
      <c r="C9" s="159" t="str">
        <f>Datos!A9</f>
        <v>Sección Civil del T.I</v>
      </c>
      <c r="D9" s="159"/>
      <c r="E9" s="1020">
        <f>IF(ISNUMBER(Datos!AQ9),Datos!AQ9," - ")</f>
        <v>8</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776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803</v>
      </c>
      <c r="Y9" s="333">
        <f>SUM(W9:X9)</f>
        <v>803</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18966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1351</v>
      </c>
      <c r="AJ9" s="228" t="str">
        <f>IF(ISNUMBER(Datos!BW9),Datos!BW9," - ")</f>
        <v xml:space="preserve"> - </v>
      </c>
      <c r="AK9" s="227" t="str">
        <f>IF(ISNUMBER(Datos!BX9),Datos!BX9," - ")</f>
        <v xml:space="preserve"> - </v>
      </c>
      <c r="AL9" s="242">
        <f>IF(ISNUMBER(NºAsuntos!G9/NºAsuntos!E9),NºAsuntos!G9/NºAsuntos!E9," - ")</f>
        <v>0.9533020171318044</v>
      </c>
      <c r="AM9" s="259">
        <f>IF(ISNUMBER(((NºAsuntos!I9/NºAsuntos!G9)*11)/factor_trimestre),((NºAsuntos!I9/NºAsuntos!G9)*11)/factor_trimestre," - ")</f>
        <v>13.129565217391304</v>
      </c>
      <c r="AN9" s="243">
        <f>IF(ISNUMBER('Resol  Asuntos'!D9/NºAsuntos!G9),'Resol  Asuntos'!D9/NºAsuntos!G9," - ")</f>
        <v>0.39159420289855074</v>
      </c>
      <c r="AO9" s="244">
        <f>IF(ISNUMBER((NºAsuntos!C9+NºAsuntos!E9)/NºAsuntos!G9),(NºAsuntos!C9+NºAsuntos!E9)/NºAsuntos!G9," - ")</f>
        <v>5.3765217391304345</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175</v>
      </c>
      <c r="G10" s="332">
        <f>IF(ISNUMBER(Datos!I10),Datos!I10," - ")</f>
        <v>175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77</v>
      </c>
      <c r="X10" s="225">
        <f>IF(ISNUMBER(Datos!Q10),Datos!Q10," - ")</f>
        <v>6</v>
      </c>
      <c r="Y10" s="333">
        <f t="shared" ref="Y10:Y12" si="0">SUM(W10:X10)</f>
        <v>83</v>
      </c>
      <c r="Z10" s="334" t="str">
        <f>IF(ISNUMBER(Datos!CC10),Datos!CC10," - ")</f>
        <v xml:space="preserve"> - </v>
      </c>
      <c r="AA10" s="331">
        <f>IF(ISNUMBER(Datos!L10),Datos!L10,"-")</f>
        <v>158</v>
      </c>
      <c r="AB10" s="333">
        <f>IF(ISNUMBER(Datos!R10),Datos!R10," - ")</f>
        <v>234</v>
      </c>
      <c r="AC10" s="333">
        <f t="shared" ref="AC10:AC12" si="1">IF(ISNUMBER(AA10+AB10),AA10+AB10," - ")</f>
        <v>392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26</v>
      </c>
      <c r="AJ10" s="230" t="str">
        <f>IF(ISNUMBER(Datos!BW10),Datos!BW10," - ")</f>
        <v xml:space="preserve"> - </v>
      </c>
      <c r="AK10" s="231" t="str">
        <f>IF(ISNUMBER(Datos!BX10),Datos!BX10," - ")</f>
        <v xml:space="preserve"> - </v>
      </c>
      <c r="AL10" s="242">
        <f>IF(ISNUMBER(NºAsuntos!G10/NºAsuntos!E10),NºAsuntos!G10/NºAsuntos!E10," - ")</f>
        <v>1.2833333333333334</v>
      </c>
      <c r="AM10" s="259">
        <f>IF(ISNUMBER(((NºAsuntos!I10/NºAsuntos!G10)*11)/factor_trimestre),((NºAsuntos!I10/NºAsuntos!G10)*11)/factor_trimestre," - ")</f>
        <v>6.1558441558441563</v>
      </c>
      <c r="AN10" s="243">
        <f>IF(ISNUMBER('Resol  Asuntos'!D10/NºAsuntos!G10),'Resol  Asuntos'!D10/NºAsuntos!G10," - ")</f>
        <v>0.33766233766233766</v>
      </c>
      <c r="AO10" s="244">
        <f>IF(ISNUMBER((NºAsuntos!C10+NºAsuntos!E10)/NºAsuntos!G10),(NºAsuntos!C10+NºAsuntos!E10)/NºAsuntos!G10," - ")</f>
        <v>3.051948051948052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61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57</v>
      </c>
      <c r="Y11" s="333">
        <f t="shared" si="0"/>
        <v>57</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1173</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205</v>
      </c>
      <c r="AJ11" s="230" t="str">
        <f>IF(ISNUMBER(Datos!BW11),Datos!BW11," - ")</f>
        <v xml:space="preserve"> - </v>
      </c>
      <c r="AK11" s="231" t="str">
        <f>IF(ISNUMBER(Datos!BX11),Datos!BX11," - ")</f>
        <v xml:space="preserve"> - </v>
      </c>
      <c r="AL11" s="242">
        <f>IF(ISNUMBER(NºAsuntos!G11/NºAsuntos!E11),NºAsuntos!G11/NºAsuntos!E11," - ")</f>
        <v>1.0488721804511278</v>
      </c>
      <c r="AM11" s="259">
        <f>IF(ISNUMBER(((NºAsuntos!I11/NºAsuntos!G11)*11)/factor_trimestre),((NºAsuntos!I11/NºAsuntos!G11)*11)/factor_trimestre," - ")</f>
        <v>2.8817204301075265</v>
      </c>
      <c r="AN11" s="243">
        <f>IF(ISNUMBER('Resol  Asuntos'!D11/NºAsuntos!G11),'Resol  Asuntos'!D11/NºAsuntos!G11," - ")</f>
        <v>0.24492234169653523</v>
      </c>
      <c r="AO11" s="244">
        <f>IF(ISNUMBER((NºAsuntos!C11+NºAsuntos!E11)/NºAsuntos!G11),(NºAsuntos!C11+NºAsuntos!E11)/NºAsuntos!G11," - ")</f>
        <v>1.9605734767025089</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12</v>
      </c>
      <c r="F13" s="862">
        <f t="shared" si="3"/>
        <v>175</v>
      </c>
      <c r="G13" s="863">
        <f t="shared" si="3"/>
        <v>175</v>
      </c>
      <c r="H13" s="862">
        <f t="shared" si="3"/>
        <v>0</v>
      </c>
      <c r="I13" s="864">
        <f t="shared" si="3"/>
        <v>0</v>
      </c>
      <c r="J13" s="864">
        <f t="shared" si="3"/>
        <v>0</v>
      </c>
      <c r="K13" s="864">
        <f t="shared" si="3"/>
        <v>0</v>
      </c>
      <c r="L13" s="864">
        <f t="shared" si="3"/>
        <v>855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77</v>
      </c>
      <c r="X13" s="864">
        <f t="shared" si="4"/>
        <v>866</v>
      </c>
      <c r="Y13" s="865">
        <f t="shared" si="4"/>
        <v>943</v>
      </c>
      <c r="Z13" s="865">
        <f t="shared" si="4"/>
        <v>0</v>
      </c>
      <c r="AA13" s="865">
        <f t="shared" si="4"/>
        <v>158</v>
      </c>
      <c r="AB13" s="865">
        <f t="shared" si="4"/>
        <v>20373</v>
      </c>
      <c r="AC13" s="865">
        <f t="shared" si="4"/>
        <v>392</v>
      </c>
      <c r="AD13" s="865">
        <f t="shared" si="4"/>
        <v>0</v>
      </c>
      <c r="AE13" s="869">
        <f t="shared" si="4"/>
        <v>0</v>
      </c>
      <c r="AF13" s="862">
        <f t="shared" si="4"/>
        <v>0</v>
      </c>
      <c r="AG13" s="870">
        <f t="shared" si="4"/>
        <v>0</v>
      </c>
      <c r="AH13" s="867">
        <f t="shared" si="4"/>
        <v>0</v>
      </c>
      <c r="AI13" s="862">
        <f t="shared" si="4"/>
        <v>1582</v>
      </c>
      <c r="AJ13" s="864">
        <f t="shared" si="4"/>
        <v>0</v>
      </c>
      <c r="AK13" s="867">
        <f>SUBTOTAL(9,AK9:AK12)</f>
        <v>0</v>
      </c>
      <c r="AL13" s="871">
        <f>IF(ISNUMBER(NºAsuntos!G13/NºAsuntos!E13),NºAsuntos!G13/NºAsuntos!E13," - ")</f>
        <v>0.97475988385079293</v>
      </c>
      <c r="AM13" s="871">
        <f>IF(ISNUMBER(((NºAsuntos!I13/NºAsuntos!G13)*11)/factor_trimestre),((NºAsuntos!I13/NºAsuntos!G13)*11)/factor_trimestre," - ")</f>
        <v>11.0410174152154</v>
      </c>
      <c r="AN13" s="872">
        <f>IF(ISNUMBER('Resol  Asuntos'!D13/NºAsuntos!G13),'Resol  Asuntos'!D13/NºAsuntos!G13," - ")</f>
        <v>0.36251145737855178</v>
      </c>
      <c r="AO13" s="873">
        <f>IF(ISNUMBER((NºAsuntos!C13+NºAsuntos!E13)/NºAsuntos!G13),(NºAsuntos!C13+NºAsuntos!E13)/NºAsuntos!G13," - ")</f>
        <v>4.6803391384051327</v>
      </c>
      <c r="AP13" s="874" t="str">
        <f t="shared" si="2"/>
        <v xml:space="preserve"> - </v>
      </c>
      <c r="AQ13" s="874">
        <f>IF(ISNUMBER((H13-W13+K13)/(F13)),(H13-W13+K13)/(F13)," - ")</f>
        <v>-0.44</v>
      </c>
      <c r="AR13" s="875">
        <f>IF(ISNUMBER((Datos!P13-Datos!Q13)/(Datos!R13-Datos!P13+Datos!Q13)),(Datos!P13-Datos!Q13)/(Datos!R13-Datos!P13+Datos!Q13)," - ")</f>
        <v>-5.3963893249607531E-4</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4640</v>
      </c>
      <c r="G15" s="332">
        <f>IF(ISNUMBER(IF(D_I="SI",Datos!I15,Datos!I15+Datos!AC15)),IF(D_I="SI",Datos!I15,Datos!I15+Datos!AC15)," - ")</f>
        <v>4815</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58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3727</v>
      </c>
      <c r="X15" s="225">
        <f>IF(ISNUMBER(Datos!Q15),Datos!Q15," - ")</f>
        <v>61</v>
      </c>
      <c r="Y15" s="333">
        <f>SUM(W15)</f>
        <v>3727</v>
      </c>
      <c r="Z15" s="334" t="str">
        <f>IF(ISNUMBER(Datos!CC15),Datos!CC15," - ")</f>
        <v xml:space="preserve"> - </v>
      </c>
      <c r="AA15" s="331">
        <f>IF(ISNUMBER(IF(D_I="SI",Datos!L15,Datos!L15+Datos!AF15)),IF(D_I="SI",Datos!L15,Datos!L15+Datos!AF15)," - ")</f>
        <v>4590</v>
      </c>
      <c r="AB15" s="333">
        <f>IF(ISNUMBER(Datos!R15),Datos!R15," - ")</f>
        <v>645</v>
      </c>
      <c r="AC15" s="333">
        <f t="shared" ref="AC15:AC18" si="6">IF(ISNUMBER(AA15+AB15),AA15+AB15," - ")</f>
        <v>5235</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339</v>
      </c>
      <c r="AJ15" s="230" t="str">
        <f>IF(ISNUMBER(Datos!BW15),Datos!BW15," - ")</f>
        <v xml:space="preserve"> - </v>
      </c>
      <c r="AK15" s="231" t="str">
        <f>IF(ISNUMBER(Datos!BX15),Datos!BX15," - ")</f>
        <v xml:space="preserve"> - </v>
      </c>
      <c r="AL15" s="242">
        <f>IF(ISNUMBER(NºAsuntos!G15/NºAsuntos!E15),NºAsuntos!G15/NºAsuntos!E15," - ")</f>
        <v>1.013598041881969</v>
      </c>
      <c r="AM15" s="259">
        <f>IF(ISNUMBER(((NºAsuntos!I15/NºAsuntos!G15)*11)/factor_trimestre),((NºAsuntos!I15/NºAsuntos!G15)*11)/factor_trimestre," - ")</f>
        <v>3.6946605849208476</v>
      </c>
      <c r="AN15" s="243">
        <f>IF(ISNUMBER('Resol  Asuntos'!D15/NºAsuntos!G15),'Resol  Asuntos'!D15/NºAsuntos!G15," - ")</f>
        <v>9.0957874966460961E-2</v>
      </c>
      <c r="AO15" s="244">
        <f>IF(ISNUMBER((NºAsuntos!C15+NºAsuntos!E15)/NºAsuntos!G15),(NºAsuntos!C15+NºAsuntos!E15)/NºAsuntos!G15," - ")</f>
        <v>2.278508183525624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350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508</v>
      </c>
      <c r="X18" s="225">
        <f>IF(ISNUMBER(Datos!Q18),Datos!Q18," - ")</f>
        <v>3</v>
      </c>
      <c r="Y18" s="333">
        <f t="shared" si="9"/>
        <v>511</v>
      </c>
      <c r="Z18" s="334" t="str">
        <f>IF(ISNUMBER(Datos!CC18),Datos!CC18," - ")</f>
        <v xml:space="preserve"> - </v>
      </c>
      <c r="AA18" s="331">
        <f>IF(ISNUMBER(Datos!L18),Datos!L18,"-")</f>
        <v>399</v>
      </c>
      <c r="AB18" s="333">
        <f>IF(ISNUMBER(Datos!R18),Datos!R18," - ")</f>
        <v>9</v>
      </c>
      <c r="AC18" s="333">
        <f t="shared" si="6"/>
        <v>408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70</v>
      </c>
      <c r="AJ18" s="230" t="str">
        <f>IF(ISNUMBER(Datos!BW18),Datos!BW18," - ")</f>
        <v xml:space="preserve"> - </v>
      </c>
      <c r="AK18" s="231" t="str">
        <f>IF(ISNUMBER(Datos!BX18),Datos!BX18," - ")</f>
        <v xml:space="preserve"> - </v>
      </c>
      <c r="AL18" s="242">
        <f>IF(ISNUMBER(NºAsuntos!G18/NºAsuntos!E18),NºAsuntos!G18/NºAsuntos!E18," - ")</f>
        <v>0.89122807017543859</v>
      </c>
      <c r="AM18" s="259">
        <f>IF(ISNUMBER(((NºAsuntos!I18/NºAsuntos!G18)*11)/factor_trimestre),((NºAsuntos!I18/NºAsuntos!G18)*11)/factor_trimestre," - ")</f>
        <v>2.3562992125984255</v>
      </c>
      <c r="AN18" s="243">
        <f>IF(ISNUMBER('Resol  Asuntos'!D18/NºAsuntos!G18),'Resol  Asuntos'!D18/NºAsuntos!G18," - ")</f>
        <v>0.13779527559055119</v>
      </c>
      <c r="AO18" s="244">
        <f>IF(ISNUMBER((NºAsuntos!C18+NºAsuntos!E18)/NºAsuntos!G18),(NºAsuntos!C18+NºAsuntos!E18)/NºAsuntos!G18," - ")</f>
        <v>1.811023622047244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4640</v>
      </c>
      <c r="G19" s="863">
        <f>SUBTOTAL(9,G15:G18)</f>
        <v>5165</v>
      </c>
      <c r="H19" s="862">
        <f t="shared" ref="H19:O19" si="12">SUBTOTAL(9,H14:H18)</f>
        <v>0</v>
      </c>
      <c r="I19" s="864">
        <f t="shared" si="12"/>
        <v>0</v>
      </c>
      <c r="J19" s="864">
        <f t="shared" si="12"/>
        <v>0</v>
      </c>
      <c r="K19" s="864">
        <f t="shared" si="12"/>
        <v>0</v>
      </c>
      <c r="L19" s="864">
        <f t="shared" si="12"/>
        <v>60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4235</v>
      </c>
      <c r="X19" s="864">
        <f t="shared" si="13"/>
        <v>64</v>
      </c>
      <c r="Y19" s="865">
        <f t="shared" si="13"/>
        <v>4238</v>
      </c>
      <c r="Z19" s="865">
        <f t="shared" si="13"/>
        <v>0</v>
      </c>
      <c r="AA19" s="865">
        <f t="shared" si="13"/>
        <v>4989</v>
      </c>
      <c r="AB19" s="865">
        <f t="shared" si="13"/>
        <v>654</v>
      </c>
      <c r="AC19" s="865">
        <f t="shared" si="13"/>
        <v>5643</v>
      </c>
      <c r="AD19" s="865">
        <f t="shared" si="13"/>
        <v>0</v>
      </c>
      <c r="AE19" s="869">
        <f t="shared" si="13"/>
        <v>0</v>
      </c>
      <c r="AF19" s="862">
        <f t="shared" si="13"/>
        <v>0</v>
      </c>
      <c r="AG19" s="870">
        <f t="shared" si="13"/>
        <v>0</v>
      </c>
      <c r="AH19" s="867">
        <f t="shared" si="13"/>
        <v>0</v>
      </c>
      <c r="AI19" s="862">
        <f t="shared" si="13"/>
        <v>409</v>
      </c>
      <c r="AJ19" s="864">
        <f t="shared" si="13"/>
        <v>0</v>
      </c>
      <c r="AK19" s="867">
        <f t="shared" si="13"/>
        <v>0</v>
      </c>
      <c r="AL19" s="871">
        <f>IF(ISNUMBER(NºAsuntos!G19/NºAsuntos!E19),NºAsuntos!G19/NºAsuntos!E19," - ")</f>
        <v>0.99717447610077703</v>
      </c>
      <c r="AM19" s="871">
        <f>IF(ISNUMBER(((NºAsuntos!I19/NºAsuntos!G19)*11)/factor_trimestre),((NºAsuntos!I19/NºAsuntos!G19)*11)/factor_trimestre," - ")</f>
        <v>3.5341204250295166</v>
      </c>
      <c r="AN19" s="872">
        <f>IF(ISNUMBER('Resol  Asuntos'!D19/NºAsuntos!G19),'Resol  Asuntos'!D19/NºAsuntos!G19," - ")</f>
        <v>9.6576151121605669E-2</v>
      </c>
      <c r="AO19" s="873">
        <f>IF(ISNUMBER((NºAsuntos!C19+NºAsuntos!E19)/NºAsuntos!G19),(NºAsuntos!C19+NºAsuntos!E19)/NºAsuntos!G19," - ")</f>
        <v>2.2224321133412044</v>
      </c>
      <c r="AP19" s="874" t="str">
        <f t="shared" si="2"/>
        <v xml:space="preserve"> - </v>
      </c>
      <c r="AQ19" s="874">
        <f>IF(ISNUMBER((H19-W19+K19)/(F19)),(H19-W19+K19)/(F19)," - ")</f>
        <v>-0.91271551724137934</v>
      </c>
      <c r="AR19" s="875">
        <f>IF(ISNUMBER((Datos!P19-Datos!Q19)/(Datos!R19-Datos!P19+Datos!Q19)),(Datos!P19-Datos!Q19)/(Datos!R19-Datos!P19+Datos!Q19)," - ")</f>
        <v>-6.0790273556231003E-3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19</v>
      </c>
      <c r="F20" s="817">
        <f t="shared" si="15"/>
        <v>4815</v>
      </c>
      <c r="G20" s="818">
        <f t="shared" si="15"/>
        <v>5340</v>
      </c>
      <c r="H20" s="817">
        <f t="shared" si="15"/>
        <v>0</v>
      </c>
      <c r="I20" s="819">
        <f t="shared" si="15"/>
        <v>0</v>
      </c>
      <c r="J20" s="819">
        <f t="shared" si="15"/>
        <v>0</v>
      </c>
      <c r="K20" s="878">
        <f t="shared" si="15"/>
        <v>0</v>
      </c>
      <c r="L20" s="819">
        <f t="shared" si="15"/>
        <v>915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4312</v>
      </c>
      <c r="X20" s="818">
        <f t="shared" si="16"/>
        <v>930</v>
      </c>
      <c r="Y20" s="825">
        <f t="shared" si="16"/>
        <v>5181</v>
      </c>
      <c r="Z20" s="825">
        <f t="shared" si="16"/>
        <v>0</v>
      </c>
      <c r="AA20" s="825">
        <f t="shared" si="16"/>
        <v>5147</v>
      </c>
      <c r="AB20" s="825">
        <f t="shared" si="16"/>
        <v>21027</v>
      </c>
      <c r="AC20" s="825">
        <f t="shared" si="16"/>
        <v>6035</v>
      </c>
      <c r="AD20" s="825">
        <f t="shared" si="16"/>
        <v>0</v>
      </c>
      <c r="AE20" s="827">
        <f t="shared" si="16"/>
        <v>0</v>
      </c>
      <c r="AF20" s="828">
        <f t="shared" si="16"/>
        <v>0</v>
      </c>
      <c r="AG20" s="829">
        <f t="shared" si="16"/>
        <v>0</v>
      </c>
      <c r="AH20" s="827">
        <f t="shared" si="16"/>
        <v>0</v>
      </c>
      <c r="AI20" s="817">
        <f t="shared" si="16"/>
        <v>1991</v>
      </c>
      <c r="AJ20" s="817">
        <f t="shared" si="16"/>
        <v>0</v>
      </c>
      <c r="AK20" s="827">
        <f t="shared" si="16"/>
        <v>0</v>
      </c>
      <c r="AL20" s="881">
        <f>IF(ISNUMBER(NºAsuntos!G20/NºAsuntos!E20),NºAsuntos!G20/NºAsuntos!E20," - ")</f>
        <v>0.9856717102246676</v>
      </c>
      <c r="AM20" s="882">
        <f>IF(ISNUMBER(((NºAsuntos!I20/NºAsuntos!G20)*11)/factor_trimestre),((NºAsuntos!I20/NºAsuntos!G20)*11)/factor_trimestre," - ")</f>
        <v>7.3438771950226771</v>
      </c>
      <c r="AN20" s="882">
        <f>IF(ISNUMBER('Resol  Asuntos'!D20/NºAsuntos!G20),'Resol  Asuntos'!D20/NºAsuntos!G20," - ")</f>
        <v>0.23153855099430165</v>
      </c>
      <c r="AO20" s="883">
        <f>IF(ISNUMBER((NºAsuntos!C20+NºAsuntos!E20)/NºAsuntos!G20),(NºAsuntos!C20+NºAsuntos!E20)/NºAsuntos!G20," - ")</f>
        <v>3.4698220723339923</v>
      </c>
      <c r="AP20" s="884" t="str">
        <f t="shared" si="2"/>
        <v xml:space="preserve"> - </v>
      </c>
      <c r="AQ20" s="885">
        <f>IF(OR(ISNUMBER(FIND("01",Criterios!A8,1)),ISNUMBER(FIND("02",Criterios!A8,1)),ISNUMBER(FIND("03",Criterios!A8,1)),ISNUMBER(FIND("04",Criterios!A8,1))),(I20-W20+K20)/(F20-K20),(H20-W20+K20)/(F20-K20))</f>
        <v>-0.89553478712357215</v>
      </c>
      <c r="AR20" s="886">
        <f>IF(ISNUMBER((Datos!P20-Datos!Q20)/(Datos!R20-Datos!P20+Datos!Q20)),(Datos!P20-Datos!Q20)/(Datos!R20-Datos!P20+Datos!Q20)," - ")</f>
        <v>-7.1285999429712005E-4</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2136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4.0770359603788409</v>
      </c>
      <c r="F22" s="251">
        <f>IF(ISNUMBER(STDEV(F8:F19)),STDEV(F8:F19),"-")</f>
        <v>2577.868951931679</v>
      </c>
      <c r="G22" s="252">
        <f>IF(ISNUMBER(STDEV(G8:G19)),STDEV(G8:G19),"-")</f>
        <v>2609.2489340804568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2074.9096847814849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631.47167489165827</v>
      </c>
      <c r="AJ22" s="251">
        <f t="shared" si="20"/>
        <v>0</v>
      </c>
      <c r="AK22" s="253">
        <f t="shared" si="20"/>
        <v>0</v>
      </c>
      <c r="AL22" s="248">
        <f t="shared" si="20"/>
        <v>0.12499779870617272</v>
      </c>
      <c r="AM22" s="249">
        <f t="shared" si="20"/>
        <v>4.2928687351053574</v>
      </c>
      <c r="AN22" s="249">
        <f t="shared" si="20"/>
        <v>0.12957340106622206</v>
      </c>
      <c r="AO22" s="250">
        <f t="shared" si="20"/>
        <v>1.4184823684824606</v>
      </c>
      <c r="AP22" s="290" t="str">
        <f t="shared" si="20"/>
        <v>-</v>
      </c>
      <c r="AQ22" s="291">
        <f t="shared" si="20"/>
        <v>0.33426034781348546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uN65XFCh+lnKHMWFsrUV1sOptKVpMZOKk9Mkqu87u2uN/RZ81Y2JRzeDCl0unqaQHfjIeu1NrzUlB9X6OqvfQ==" saltValue="eXvC8EZNYOXD2D1R6VeEd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CASTELLON-CASTELLO</v>
      </c>
      <c r="E3" s="262"/>
    </row>
    <row r="4" spans="2:20" ht="17.25" customHeight="1" thickBot="1">
      <c r="D4" s="261" t="str">
        <f>Criterios!A11 &amp;"  "&amp;Criterios!B11</f>
        <v>Resumenes por Partidos Judiciales  CASTELLO DE LA PLANA-CASTELLON DE LA PLANA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7.4571215510812828E-3</v>
      </c>
      <c r="I9" s="349">
        <f>IF(ISNUMBER((Tasas!C9-Datos!BE9)/Datos!BE9),(Tasas!C9-Datos!BE9)/Datos!BE9," - ")</f>
        <v>0.15565429769495576</v>
      </c>
      <c r="J9" s="348">
        <f>IF(ISNUMBER((Tasas!D9-Datos!BF9)/Datos!BF9),(Tasas!D9-Datos!BF9)/Datos!BF9," - ")</f>
        <v>3.438718708827404E-2</v>
      </c>
      <c r="K9" s="350">
        <f>IF(ISNUMBER((Tasas!E9-Datos!BG9)/Datos!BG9),(Tasas!E9-Datos!BG9)/Datos!BG9," - ")</f>
        <v>0.14400885922547438</v>
      </c>
      <c r="M9" t="e">
        <f>IF(Monitorios="SI",Datos!CE9,0)</f>
        <v>#REF!</v>
      </c>
      <c r="N9" t="e">
        <f>IF(Monitorios="SI",Datos!CF9,0)</f>
        <v>#REF!</v>
      </c>
      <c r="O9" t="e">
        <f>IF(Monitorios="SI",Datos!CG9,0)</f>
        <v>#REF!</v>
      </c>
      <c r="P9" t="e">
        <f>IF(Monitorios="SI",Datos!CH9,0)</f>
        <v>#REF!</v>
      </c>
      <c r="Q9">
        <f>IF(J_V="SI",0,Datos!AG9)</f>
        <v>50</v>
      </c>
      <c r="R9">
        <f>IF(J_V="SI",0,Datos!AH9)</f>
        <v>86</v>
      </c>
      <c r="S9">
        <f>IF(J_V="SI",0,Datos!AI9)</f>
        <v>62</v>
      </c>
      <c r="T9">
        <f>IF(J_V="SI",0,Datos!AJ9)</f>
        <v>74</v>
      </c>
    </row>
    <row r="10" spans="2:20" ht="14.25">
      <c r="B10" s="274" t="s">
        <v>247</v>
      </c>
      <c r="C10" s="7" t="str">
        <f>Datos!A10</f>
        <v>Sección De Violencia sobre la Mujer del TI</v>
      </c>
      <c r="D10" s="351">
        <f>IF(ISNUMBER((Datos!I10-Datos!S10)/Datos!S10),(Datos!I10-Datos!S10)/Datos!S10," - ")</f>
        <v>-0.23580786026200873</v>
      </c>
      <c r="E10" s="347">
        <f>IF(ISNUMBER((Datos!J10-Datos!T10)/Datos!T10),(Datos!J10-Datos!T10)/Datos!T10," - ")</f>
        <v>-3.2258064516129031E-2</v>
      </c>
      <c r="F10" s="347">
        <f>IF(ISNUMBER((Datos!K10-Datos!U10)/Datos!U10),(Datos!K10-Datos!U10)/Datos!U10," - ")</f>
        <v>0.71111111111111114</v>
      </c>
      <c r="G10" s="348">
        <f>IF(ISNUMBER((Datos!L10-Datos!V10)/Datos!V10),(Datos!L10-Datos!V10)/Datos!V10," - ")</f>
        <v>-0.35772357723577236</v>
      </c>
      <c r="H10" s="229">
        <f>IF(ISNUMBER((Datos!M10-Datos!W10)/Datos!W10),(Datos!M10-Datos!W10)/Datos!W10," - ")</f>
        <v>0.3</v>
      </c>
      <c r="I10" s="349">
        <f>IF(ISNUMBER((Tasas!C10-Datos!BE10)/Datos!BE10),(Tasas!C10-Datos!BE10)/Datos!BE10," - ")</f>
        <v>-0.62464364903389291</v>
      </c>
      <c r="J10" s="348">
        <f>IF(ISNUMBER((Tasas!D10-Datos!BF10)/Datos!BF10),(Tasas!D10-Datos!BF10)/Datos!BF10," - ")</f>
        <v>-0.2402597402597402</v>
      </c>
      <c r="K10" s="350">
        <f>IF(ISNUMBER((Tasas!E10-Datos!BG10)/Datos!BG10),(Tasas!E10-Datos!BG10)/Datos!BG10," - ")</f>
        <v>-0.52804927031731153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1.9900497512437811E-2</v>
      </c>
      <c r="I11" s="349">
        <f>IF(ISNUMBER((Tasas!C11-Datos!BE11)/Datos!BE11),(Tasas!C11-Datos!BE11)/Datos!BE11," - ")</f>
        <v>-0.11016643049651309</v>
      </c>
      <c r="J11" s="348">
        <f>IF(ISNUMBER((Tasas!D11-Datos!BF11)/Datos!BF11),(Tasas!D11-Datos!BF11)/Datos!BF11," - ")</f>
        <v>-0.59065426807362287</v>
      </c>
      <c r="K11" s="350">
        <f>IF(ISNUMBER((Tasas!E11-Datos!BG11)/Datos!BG11),(Tasas!E11-Datos!BG11)/Datos!BG11," - ")</f>
        <v>-5.7189012209457497E-2</v>
      </c>
      <c r="M11" t="e">
        <f>IF(Monitorios="SI",Datos!CE11,0)</f>
        <v>#REF!</v>
      </c>
      <c r="N11" t="e">
        <f>IF(Monitorios="SI",Datos!CF11,0)</f>
        <v>#REF!</v>
      </c>
      <c r="O11" t="e">
        <f>IF(Monitorios="SI",Datos!CG11,0)</f>
        <v>#REF!</v>
      </c>
      <c r="P11" t="e">
        <f>IF(Monitorios="SI",Datos!CH11,0)</f>
        <v>#REF!</v>
      </c>
      <c r="Q11">
        <f>IF(J_V="SI",0,Datos!AG11)</f>
        <v>211</v>
      </c>
      <c r="R11">
        <f>IF(J_V="SI",0,Datos!AH11)</f>
        <v>299</v>
      </c>
      <c r="S11">
        <f>IF(J_V="SI",0,Datos!AI11)</f>
        <v>250</v>
      </c>
      <c r="T11">
        <f>IF(J_V="SI",0,Datos!AJ11)</f>
        <v>260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1.2804097311139564E-2</v>
      </c>
      <c r="I13" s="356">
        <f>IF(ISNUMBER((Tasas!C13-Datos!BE13)/Datos!BE13),(Tasas!C13-Datos!BE13)/Datos!BE13," - ")</f>
        <v>6.9167565656081398E-2</v>
      </c>
      <c r="J13" s="354">
        <f>IF(ISNUMBER((Tasas!D13-Datos!BF13)/Datos!BF13),(Tasas!D13-Datos!BF13)/Datos!BF13," - ")</f>
        <v>-0.11201924134208077</v>
      </c>
      <c r="K13" s="357">
        <f>IF(ISNUMBER((Tasas!E13-Datos!BG13)/Datos!BG13),(Tasas!E13-Datos!BG13)/Datos!BG13," - ")</f>
        <v>7.1698831107874089E-2</v>
      </c>
      <c r="M13" t="e">
        <f>IF(Monitorios="SI",Datos!CE13,0)</f>
        <v>#REF!</v>
      </c>
      <c r="N13" t="e">
        <f>IF(Monitorios="SI",Datos!CF13,0)</f>
        <v>#REF!</v>
      </c>
      <c r="O13" t="e">
        <f>IF(Monitorios="SI",Datos!CG13,0)</f>
        <v>#REF!</v>
      </c>
      <c r="P13" t="e">
        <f>IF(Monitorios="SI",Datos!CH13,0)</f>
        <v>#REF!</v>
      </c>
      <c r="Q13">
        <f>IF(J_V="SI",0,Datos!AG13)</f>
        <v>261</v>
      </c>
      <c r="R13">
        <f>IF(J_V="SI",0,Datos!AH13)</f>
        <v>385</v>
      </c>
      <c r="S13">
        <f>IF(J_V="SI",0,Datos!AI13)</f>
        <v>312</v>
      </c>
      <c r="T13">
        <f>IF(J_V="SI",0,Datos!AJ13)</f>
        <v>334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-1.3521819299323909E-2</v>
      </c>
      <c r="E15" s="347">
        <f>IF(ISNUMBER(
   IF(D_I="SI",(Datos!J15-Datos!T15)/Datos!T15,(Datos!J15+Datos!AD15-(Datos!T15+Datos!AL15))/(Datos!T15+Datos!AL15))
     ),IF(D_I="SI",(Datos!J15-Datos!T15)/Datos!T15,(Datos!J15+Datos!AD15-(Datos!T15+Datos!AL15))/(Datos!T15+Datos!AL15))," - ")</f>
        <v>0.15483668341708542</v>
      </c>
      <c r="F15" s="347">
        <f>IF(ISNUMBER(
   IF(D_I="SI",(Datos!K15-Datos!U15)/Datos!U15,(Datos!K15+Datos!AE15-(Datos!U15+Datos!AM15))/(Datos!U15+Datos!AM15))
     ),IF(D_I="SI",(Datos!K15-Datos!U15)/Datos!U15,(Datos!K15+Datos!AE15-(Datos!U15+Datos!AM15))/(Datos!U15+Datos!AM15))," - ")</f>
        <v>0.20967218435572865</v>
      </c>
      <c r="G15" s="348">
        <f>IF(ISNUMBER(
   IF(D_I="SI",(Datos!L15-Datos!V15)/Datos!V15,(Datos!L15+Datos!AF15-(Datos!V15+Datos!AN15))/(Datos!V15+Datos!AN15))
     ),IF(D_I="SI",(Datos!L15-Datos!V15)/Datos!V15,(Datos!L15+Datos!AF15-(Datos!V15+Datos!AN15))/(Datos!V15+Datos!AN15))," - ")</f>
        <v>-0.12820512820512819</v>
      </c>
      <c r="H15" s="229">
        <f>IF(ISNUMBER((Datos!M15-Datos!W15)/Datos!W15),(Datos!M15-Datos!W15)/Datos!W15," - ")</f>
        <v>-0.26939655172413796</v>
      </c>
      <c r="I15" s="349">
        <f>IF(ISNUMBER((Tasas!C15-Datos!BE15)/Datos!BE15),(Tasas!C15-Datos!BE15)/Datos!BE15," - ")</f>
        <v>-0.27931312047222973</v>
      </c>
      <c r="J15" s="348">
        <f>IF(ISNUMBER((Tasas!D15-Datos!BF15)/Datos!BF15),(Tasas!D15-Datos!BF15)/Datos!BF15," - ")</f>
        <v>-0.39603186902658138</v>
      </c>
      <c r="K15" s="350">
        <f>IF(ISNUMBER((Tasas!E15-Datos!BG15)/Datos!BG15),(Tasas!E15-Datos!BG15)/Datos!BG15," - ")</f>
        <v>-0.12956184582238708</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0.63551401869158874</v>
      </c>
      <c r="E18" s="347">
        <f>IF(ISNUMBER(
   IF(D_I="SI",(Datos!J18-Datos!T18)/Datos!T18,(Datos!J18+Datos!AD18-(Datos!T18+Datos!AL18))/(Datos!T18+Datos!AL18))
     ),IF(D_I="SI",(Datos!J18-Datos!T18)/Datos!T18,(Datos!J18+Datos!AD18-(Datos!T18+Datos!AL18))/(Datos!T18+Datos!AL18))," - ")</f>
        <v>0.15384615384615385</v>
      </c>
      <c r="F18" s="347">
        <f>IF(ISNUMBER(
   IF(D_I="SI",(Datos!K18-Datos!U18)/Datos!U18,(Datos!K18+Datos!AE18-(Datos!U18+Datos!AM18))/(Datos!U18+Datos!AM18))
     ),IF(D_I="SI",(Datos!K18-Datos!U18)/Datos!U18,(Datos!K18+Datos!AE18-(Datos!U18+Datos!AM18))/(Datos!U18+Datos!AM18))," - ")</f>
        <v>1.6E-2</v>
      </c>
      <c r="G18" s="348">
        <f>IF(ISNUMBER(
   IF(D_I="SI",(Datos!L18-Datos!V18)/Datos!V18,(Datos!L18+Datos!AF18-(Datos!V18+Datos!AN18))/(Datos!V18+Datos!AN18))
     ),IF(D_I="SI",(Datos!L18-Datos!V18)/Datos!V18,(Datos!L18+Datos!AF18-(Datos!V18+Datos!AN18))/(Datos!V18+Datos!AN18))," - ")</f>
        <v>0.91826923076923073</v>
      </c>
      <c r="H18" s="229">
        <f>IF(ISNUMBER((Datos!M18-Datos!W18)/Datos!W18),(Datos!M18-Datos!W18)/Datos!W18," - ")</f>
        <v>-0.2391304347826087</v>
      </c>
      <c r="I18" s="349">
        <f>IF(ISNUMBER((Tasas!C18-Datos!BE18)/Datos!BE18),(Tasas!C18-Datos!BE18)/Datos!BE18," - ")</f>
        <v>0.88806026650514858</v>
      </c>
      <c r="J18" s="348">
        <f>IF(ISNUMBER((Tasas!D18-Datos!BF18)/Datos!BF18),(Tasas!D18-Datos!BF18)/Datos!BF18," - ")</f>
        <v>-0.25111263266004791</v>
      </c>
      <c r="K18" s="350">
        <f>IF(ISNUMBER((Tasas!E18-Datos!BG18)/Datos!BG18),(Tasas!E18-Datos!BG18)/Datos!BG18," - ")</f>
        <v>0.27897148449664128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1.3738959764474975E-2</v>
      </c>
      <c r="E19" s="353">
        <f>IF(ISNUMBER(
   IF(D_I="SI",(Datos!J19-Datos!T19)/Datos!T19,(Datos!J19+Datos!AD19-(Datos!T19+Datos!AL19))/(Datos!T19+Datos!AL19))
     ),IF(D_I="SI",(Datos!J19-Datos!T19)/Datos!T19,(Datos!J19+Datos!AD19-(Datos!T19+Datos!AL19))/(Datos!T19+Datos!AL19))," - ")</f>
        <v>0.1547036432843937</v>
      </c>
      <c r="F19" s="353">
        <f>IF(ISNUMBER(
   IF(D_I="SI",(Datos!K19-Datos!U19)/Datos!U19,(Datos!K19+Datos!AE19-(Datos!U19+Datos!AM19))/(Datos!U19+Datos!AM19))
     ),IF(D_I="SI",(Datos!K19-Datos!U19)/Datos!U19,(Datos!K19+Datos!AE19-(Datos!U19+Datos!AM19))/(Datos!U19+Datos!AM19))," - ")</f>
        <v>0.18263055012566323</v>
      </c>
      <c r="G19" s="354">
        <f>IF(ISNUMBER(
   IF(D_I="SI",(Datos!L19-Datos!V19)/Datos!V19,(Datos!L19+Datos!AF19-(Datos!V19+Datos!AN19))/(Datos!V19+Datos!AN19))
     ),IF(D_I="SI",(Datos!L19-Datos!V19)/Datos!V19,(Datos!L19+Datos!AF19-(Datos!V19+Datos!AN19))/(Datos!V19+Datos!AN19))," - ")</f>
        <v>-8.8434131189475601E-2</v>
      </c>
      <c r="H19" s="355">
        <f>IF(ISNUMBER((Datos!M19-Datos!W19)/Datos!W19),(Datos!M19-Datos!W19)/Datos!W19," - ")</f>
        <v>-0.26438848920863312</v>
      </c>
      <c r="I19" s="356">
        <f>IF(ISNUMBER((Tasas!C19-Datos!BE19)/Datos!BE19),(Tasas!C19-Datos!BE19)/Datos!BE19," - ")</f>
        <v>-0.22920486984404054</v>
      </c>
      <c r="J19" s="354">
        <f>IF(ISNUMBER((Tasas!D19-Datos!BF19)/Datos!BF19),(Tasas!D19-Datos!BF19)/Datos!BF19," - ")</f>
        <v>-0.37798705545598943</v>
      </c>
      <c r="K19" s="357">
        <f>IF(ISNUMBER((Tasas!E19-Datos!BG19)/Datos!BG19),(Tasas!E19-Datos!BG19)/Datos!BG19," - ")</f>
        <v>-9.2838322366938009E-2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-9.054490631057506E-2</v>
      </c>
      <c r="E20" s="362">
        <f>IF(ISNUMBER(
   IF(J_V="SI",(Datos!J20-Datos!T20)/Datos!T20,(Datos!J20+Datos!Z20-(Datos!T20+Datos!AH20))/(Datos!T20+Datos!AH20))
     ),IF(J_V="SI",(Datos!J20-Datos!T20)/Datos!T20,(Datos!J20+Datos!Z20-(Datos!T20+Datos!AH20))/(Datos!T20+Datos!AH20))," - ")</f>
        <v>-5.0603983023179887E-2</v>
      </c>
      <c r="F20" s="362">
        <f>IF(ISNUMBER(
   IF(J_V="SI",(Datos!K20-Datos!U20)/Datos!U20,(Datos!K20+Datos!AA20-(Datos!U20+Datos!AI20))/(Datos!U20+Datos!AI20))
     ),IF(J_V="SI",(Datos!K20-Datos!U20)/Datos!U20,(Datos!K20+Datos!AA20-(Datos!U20+Datos!AI20))/(Datos!U20+Datos!AI20))," - ")</f>
        <v>-4.3705516014234877E-2</v>
      </c>
      <c r="G20" s="363">
        <f>IF(ISNUMBER(
   IF(J_V="SI",(Datos!L20-Datos!V20)/Datos!V20,(Datos!L20+Datos!AB20-(Datos!V20+Datos!AJ20))/(Datos!V20+Datos!AJ20))
     ),IF(J_V="SI",(Datos!L20-Datos!V20)/Datos!V20,(Datos!L20+Datos!AB20-(Datos!V20+Datos!AJ20))/(Datos!V20+Datos!AJ20))," - ")</f>
        <v>-0.1265197726046724</v>
      </c>
      <c r="H20" s="364">
        <f>IF(ISNUMBER((Datos!M20-Datos!W20)/Datos!W20),(Datos!M20-Datos!W20)/Datos!W20," - ")</f>
        <v>-5.996222851746931E-2</v>
      </c>
      <c r="I20" s="361">
        <f>IF(ISNUMBER((Tasas!C20-Datos!BE20)/Datos!BE20),(Tasas!C20-Datos!BE20)/Datos!BE20," - ")</f>
        <v>-8.6599115625213885E-2</v>
      </c>
      <c r="J20" s="362">
        <f>IF(ISNUMBER((Tasas!D20-Datos!BF20)/Datos!BF20),(Tasas!D20-Datos!BF20)/Datos!BF20," - ")</f>
        <v>-0.24701820956934525</v>
      </c>
      <c r="K20" s="363">
        <f>IF(ISNUMBER((Tasas!E20-Datos!BG20)/Datos!BG20),(Tasas!E20-Datos!BG20)/Datos!BG20," - ")</f>
        <v>-3.7136153733265641E-2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0.37410798453465383</v>
      </c>
      <c r="E22" s="277">
        <f t="shared" si="1"/>
        <v>9.3361144271748048E-2</v>
      </c>
      <c r="F22" s="277">
        <f t="shared" si="1"/>
        <v>0.29998861959044104</v>
      </c>
      <c r="G22" s="278">
        <f t="shared" si="1"/>
        <v>0.56741336676853316</v>
      </c>
      <c r="H22" s="284">
        <f t="shared" si="1"/>
        <v>0.20957140210649366</v>
      </c>
      <c r="I22" s="276">
        <f t="shared" si="1"/>
        <v>0.4740076641752396</v>
      </c>
      <c r="J22" s="277">
        <f t="shared" si="1"/>
        <v>0.20369198878015068</v>
      </c>
      <c r="K22" s="278">
        <f t="shared" si="1"/>
        <v>0.25730146854960584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BgVgBda3fIyOj7RlQ9urx+cXyvuxo7ZuoA4ouZnfCDfswVFVi2/ZlXVdKVaJ10N+16NdP+3IuzMIfKHL8fsxQ==" saltValue="FXpdkUCM4stswMPXoIfO3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8</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48.141739130434779</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175</v>
      </c>
      <c r="D10" s="224">
        <f>IF(ISNUMBER(Datos!I10),Datos!I10," - ")</f>
        <v>175</v>
      </c>
      <c r="E10" s="225">
        <f>IF(ISNUMBER(Datos!J10),Datos!J10," - ")</f>
        <v>60</v>
      </c>
      <c r="F10" s="225">
        <f>IF(ISNUMBER(Datos!K10),Datos!K10," - ")</f>
        <v>77</v>
      </c>
      <c r="G10" s="1029" t="str">
        <f>IF(Datos!E10&lt;&gt;"",Datos!E10,Datos!D10)</f>
        <v>37</v>
      </c>
      <c r="H10" s="226">
        <f>IF(ISNUMBER(Datos!L10),Datos!L10," - ")</f>
        <v>158</v>
      </c>
      <c r="I10" s="1039" t="str">
        <f>IF(ISNUMBER(Datos!AS10/Datos!BM10),Datos!AS10/Datos!BM10," - ")</f>
        <v xml:space="preserve"> - </v>
      </c>
      <c r="J10" s="1040">
        <f>IF(ISNUMBER(Datos!BY10/Datos!CN10),Datos!BY10/Datos!CN10," - ")</f>
        <v>0</v>
      </c>
      <c r="K10" s="229">
        <f t="shared" ref="K10:K12" si="1">IF(ISNUMBER((E10-F10)/C10),(E10-F10)/C10," - ")</f>
        <v>-9.7142857142857142E-2</v>
      </c>
      <c r="L10" s="1020">
        <f>IF(ISNUMBER(NºAsuntos!I10/NºAsuntos!G10),(NºAsuntos!I10/NºAsuntos!G10)*11," - ")</f>
        <v>22.571428571428573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10.566308243727597</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175</v>
      </c>
      <c r="D13" s="1044">
        <f>SUBTOTAL(9,D9:D12)</f>
        <v>175</v>
      </c>
      <c r="E13" s="1045">
        <f>SUBTOTAL(9,E9:E12)</f>
        <v>60</v>
      </c>
      <c r="F13" s="1046">
        <f>SUBTOTAL(9,F9:F12)</f>
        <v>77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4640</v>
      </c>
      <c r="D15" s="224">
        <f>IF(ISNUMBER(IF(D_I="SI",Datos!I15,Datos!I15+Datos!AC15)),IF(D_I="SI",Datos!I15,Datos!I15+Datos!AC15)," - ")</f>
        <v>4815</v>
      </c>
      <c r="E15" s="225">
        <f>IF(ISNUMBER(IF(D_I="SI",Datos!J15,Datos!J15+Datos!AD15)),IF(D_I="SI",Datos!J15,Datos!J15+Datos!AD15)," - ")</f>
        <v>3677</v>
      </c>
      <c r="F15" s="225">
        <f>IF(ISNUMBER(IF(D_I="SI",Datos!K15,Datos!K15+Datos!AE15)),IF(D_I="SI",Datos!K15,Datos!K15+Datos!AE15)," - ")</f>
        <v>3727</v>
      </c>
      <c r="G15" s="1029" t="str">
        <f>IF(Datos!E15&lt;&gt;"",Datos!E15,Datos!D15)</f>
        <v>03</v>
      </c>
      <c r="H15" s="226">
        <f>IF(ISNUMBER(IF(D_I="SI",Datos!L15,Datos!L15+Datos!AF15)),IF(D_I="SI",Datos!L15,Datos!L15+Datos!AF15)," - ")</f>
        <v>4590</v>
      </c>
      <c r="I15" s="1039" t="str">
        <f>IF(ISNUMBER(Datos!AS15/Datos!BM15),Datos!AS15/Datos!BM15," - ")</f>
        <v xml:space="preserve"> - </v>
      </c>
      <c r="J15" s="1040">
        <f>IF(ISNUMBER(Datos!BY15/Datos!CN15),Datos!BY15/Datos!CN15," - ")</f>
        <v>0</v>
      </c>
      <c r="K15" s="229">
        <f t="shared" ref="K15:K18" si="3">IF(ISNUMBER((E15-F15)/C15),(E15-F15)/C15," - ")</f>
        <v>-1.0775862068965518E-2</v>
      </c>
      <c r="L15" s="1020">
        <f>IF(ISNUMBER(NºAsuntos!I15/NºAsuntos!G15),(NºAsuntos!I15/NºAsuntos!G15)*11," - ")</f>
        <v>13.54708881137644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337</v>
      </c>
      <c r="D18" s="224">
        <f>IF(ISNUMBER(IF(D_I="SI",Datos!I18,Datos!I18+Datos!AC18)),IF(D_I="SI",Datos!I18,Datos!I18+Datos!AC18)," - ")</f>
        <v>350</v>
      </c>
      <c r="E18" s="225">
        <f>IF(ISNUMBER(IF(D_I="SI",Datos!J18,Datos!J18+Datos!AD18)),IF(D_I="SI",Datos!J18,Datos!J18+Datos!AD18)," - ")</f>
        <v>570</v>
      </c>
      <c r="F18" s="225">
        <f>IF(ISNUMBER(IF(D_I="SI",Datos!K18,Datos!K18+Datos!AE18)),IF(D_I="SI",Datos!K18,Datos!K18+Datos!AE18)," - ")</f>
        <v>508</v>
      </c>
      <c r="G18" s="1029" t="str">
        <f>IF(Datos!E18&lt;&gt;"",Datos!E18,Datos!D18)</f>
        <v>37</v>
      </c>
      <c r="H18" s="226">
        <f>IF(ISNUMBER(IF(D_I="SI",Datos!L18,Datos!L18+Datos!AF18)),IF(D_I="SI",Datos!L18,Datos!L18+Datos!AF18)," - ")</f>
        <v>399</v>
      </c>
      <c r="I18" s="1039" t="str">
        <f>IF(ISNUMBER(Datos!AS18/Datos!BM18),Datos!AS18/Datos!BM18," - ")</f>
        <v xml:space="preserve"> - </v>
      </c>
      <c r="J18" s="1040" t="str">
        <f>IF(ISNUMBER((Datos!BY18+Datos!BZ18)/Datos!CN18),(Datos!BY18+Datos!BZ18)/Datos!CN18," - ")</f>
        <v xml:space="preserve"> - </v>
      </c>
      <c r="K18" s="229">
        <f t="shared" si="3"/>
        <v>0.18397626112759644</v>
      </c>
      <c r="L18" s="1020">
        <f>IF(ISNUMBER(NºAsuntos!I18/NºAsuntos!G18),(NºAsuntos!I18/NºAsuntos!G18)*11," - ")</f>
        <v>8.6397637795275593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4977</v>
      </c>
      <c r="D19" s="1044">
        <f>SUBTOTAL(9,D15:D18)</f>
        <v>5165</v>
      </c>
      <c r="E19" s="1045">
        <f>SUBTOTAL(9,E15:E18)</f>
        <v>4247</v>
      </c>
      <c r="F19" s="1045">
        <f>SUBTOTAL(9,F15:F18)</f>
        <v>4235</v>
      </c>
      <c r="G19" s="1047" t="str">
        <f ca="1">INDIRECT(CONCATENATE("G",ROW()-1))</f>
        <v>37</v>
      </c>
      <c r="H19" s="1048">
        <f ca="1">SUMIF(G$14:G18,G19,H$14:H18)</f>
        <v>399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5152</v>
      </c>
      <c r="D20" s="1066">
        <f>SUBTOTAL(9,D9:D19)</f>
        <v>5340</v>
      </c>
      <c r="E20" s="1067">
        <f>SUBTOTAL(9,E9:E19)</f>
        <v>4307</v>
      </c>
      <c r="F20" s="1067">
        <f>SUBTOTAL(9,F9:F19)</f>
        <v>4312</v>
      </c>
      <c r="G20" s="1068"/>
      <c r="H20" s="1069">
        <f ca="1">SUMIF(B9:B19,"TOTAL",H9:H19)</f>
        <v>399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VxSSX5pUFtA8QsMTIIhF2tM4hdS/JoN+9UK44Duk3ZzjnyOuTP3HPEGw+sWPnXuQ3RXtbZlwSIBR0bB8P6MWg==" saltValue="UbIupLH9LAbhZvG+a/nWR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kuJvUZZfXYj4TjAyvat9XS04R/IRuUbT2HBBCHPNSKN+n24DdbyKXTmrkgkedm5xuy8vpK5jLS/JK+3osvfpA==" saltValue="yAQwFXVrkCsXgwk7W3ULN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14809</v>
      </c>
      <c r="J9" s="180">
        <v>3544</v>
      </c>
      <c r="K9" s="180">
        <v>3346</v>
      </c>
      <c r="L9" s="180">
        <v>15007</v>
      </c>
      <c r="M9" s="180">
        <v>1351</v>
      </c>
      <c r="N9" s="180">
        <v>1237</v>
      </c>
      <c r="O9" s="180">
        <v>1543</v>
      </c>
      <c r="P9" s="180">
        <v>776</v>
      </c>
      <c r="Q9" s="180">
        <v>803</v>
      </c>
      <c r="R9" s="180">
        <v>18966</v>
      </c>
      <c r="S9" s="180">
        <v>17061</v>
      </c>
      <c r="T9" s="180">
        <v>4652</v>
      </c>
      <c r="U9" s="180">
        <v>4587</v>
      </c>
      <c r="V9" s="180">
        <v>17532</v>
      </c>
      <c r="W9" s="180">
        <v>1341</v>
      </c>
      <c r="X9" s="187">
        <v>1760</v>
      </c>
      <c r="Y9" s="190">
        <v>121</v>
      </c>
      <c r="Z9" s="180">
        <v>75</v>
      </c>
      <c r="AA9" s="180">
        <v>104</v>
      </c>
      <c r="AB9" s="180">
        <v>92</v>
      </c>
      <c r="AC9" s="180">
        <v>0</v>
      </c>
      <c r="AD9" s="180">
        <v>0</v>
      </c>
      <c r="AE9" s="180">
        <v>0</v>
      </c>
      <c r="AF9" s="187">
        <v>0</v>
      </c>
      <c r="AG9" s="190">
        <v>50</v>
      </c>
      <c r="AH9" s="180">
        <v>86</v>
      </c>
      <c r="AI9" s="180">
        <v>62</v>
      </c>
      <c r="AJ9" s="191">
        <v>74</v>
      </c>
      <c r="AK9" s="179">
        <v>0</v>
      </c>
      <c r="AL9" s="180">
        <v>0</v>
      </c>
      <c r="AM9" s="180">
        <v>0</v>
      </c>
      <c r="AN9" s="187">
        <v>0</v>
      </c>
      <c r="AO9" s="257">
        <v>8</v>
      </c>
      <c r="AP9" s="153">
        <v>8</v>
      </c>
      <c r="AQ9" s="153">
        <v>8</v>
      </c>
      <c r="AR9" s="192">
        <v>8</v>
      </c>
      <c r="AS9" s="337" t="s">
        <v>763</v>
      </c>
      <c r="AT9" s="194"/>
      <c r="AU9" s="193"/>
      <c r="AV9" s="194"/>
      <c r="AW9" s="193"/>
      <c r="AX9" s="194"/>
      <c r="AY9" s="123">
        <f>IF(ISNUMBER(IF(J_V="SI",S9,S9+AG9)),IF(J_V="SI",S9,S9+AG9)," - ")</f>
        <v>17111</v>
      </c>
      <c r="AZ9" s="123">
        <f>IF(ISNUMBER(IF(J_V="SI",T9,T9+AH9)),IF(J_V="SI",T9,T9+AH9)," - ")</f>
        <v>4738</v>
      </c>
      <c r="BA9" s="124">
        <f>IF(ISNUMBER(IF(J_V="SI",U9,U9+AI9)),IF(J_V="SI",U9,U9+AI9)," - ")</f>
        <v>4649</v>
      </c>
      <c r="BB9" s="124">
        <f>IF(ISNUMBER(IF(J_V="SI",V9,V9+AJ9)),IF(J_V="SI",V9,V9+AJ9)," - ")</f>
        <v>17606</v>
      </c>
      <c r="BC9" s="125">
        <f>IF(ISNUMBER(X9),X9," - ")</f>
        <v>1760</v>
      </c>
      <c r="BD9" s="126">
        <f>IF(ISNUMBER(BA9/AZ9),BA9/AZ9," - ")</f>
        <v>0.98121570282819759</v>
      </c>
      <c r="BE9" s="127">
        <f>IF(ISNUMBER(BB9/BA9),BB9/BA9, " - ")</f>
        <v>3.7870509787050977</v>
      </c>
      <c r="BF9" s="127">
        <f>IF(ISNUMBER(BC9/BA9),BC9/BA9, " - ")</f>
        <v>0.3785760378576038</v>
      </c>
      <c r="BG9" s="195">
        <f>IF(ISNUMBER((AY9+AZ9)/BA9),(AY9+AZ9)/BA9," - ")</f>
        <v>4.6997203699720371</v>
      </c>
      <c r="BH9" s="153">
        <v>8</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175</v>
      </c>
      <c r="J10" s="180">
        <v>60</v>
      </c>
      <c r="K10" s="180">
        <v>77</v>
      </c>
      <c r="L10" s="180">
        <v>158</v>
      </c>
      <c r="M10" s="180">
        <v>26</v>
      </c>
      <c r="N10" s="180">
        <v>28</v>
      </c>
      <c r="O10" s="180">
        <v>11</v>
      </c>
      <c r="P10" s="180">
        <v>18</v>
      </c>
      <c r="Q10" s="180">
        <v>6</v>
      </c>
      <c r="R10" s="180">
        <v>234</v>
      </c>
      <c r="S10" s="180">
        <v>229</v>
      </c>
      <c r="T10" s="180">
        <v>62</v>
      </c>
      <c r="U10" s="180">
        <v>45</v>
      </c>
      <c r="V10" s="180">
        <v>246</v>
      </c>
      <c r="W10" s="180">
        <v>20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229</v>
      </c>
      <c r="AZ10" s="129">
        <f t="shared" si="0"/>
        <v>62</v>
      </c>
      <c r="BA10" s="129">
        <f t="shared" si="0"/>
        <v>45</v>
      </c>
      <c r="BB10" s="129">
        <f t="shared" si="0"/>
        <v>246</v>
      </c>
      <c r="BC10" s="125">
        <f t="shared" si="0"/>
        <v>20</v>
      </c>
      <c r="BD10" s="126">
        <f>IF(ISNUMBER(BA10/AZ10),BA10/AZ10," - ")</f>
        <v>0.72580645161290325</v>
      </c>
      <c r="BE10" s="127">
        <f>IF(ISNUMBER(BB10/BA10),BB10/BA10, " - ")</f>
        <v>5.4666666666666668</v>
      </c>
      <c r="BF10" s="127">
        <f>IF(ISNUMBER(BC10/BA10),BC10/BA10, " - ")</f>
        <v>0.44444444444444442</v>
      </c>
      <c r="BG10" s="195">
        <f>IF(ISNUMBER((AY10+AZ10)/BA10),(AY10+AZ10)/BA10," - ")</f>
        <v>6.4666666666666668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507</v>
      </c>
      <c r="J11" s="182">
        <v>460</v>
      </c>
      <c r="K11" s="182">
        <v>472</v>
      </c>
      <c r="L11" s="182">
        <v>495</v>
      </c>
      <c r="M11" s="182">
        <v>205</v>
      </c>
      <c r="N11" s="182">
        <v>425</v>
      </c>
      <c r="O11" s="180">
        <v>245</v>
      </c>
      <c r="P11" s="182">
        <v>61</v>
      </c>
      <c r="Q11" s="182">
        <v>57</v>
      </c>
      <c r="R11" s="182">
        <v>1173</v>
      </c>
      <c r="S11" s="182">
        <v>569</v>
      </c>
      <c r="T11" s="182">
        <v>412</v>
      </c>
      <c r="U11" s="182">
        <v>467</v>
      </c>
      <c r="V11" s="182">
        <v>514</v>
      </c>
      <c r="W11" s="182">
        <v>201</v>
      </c>
      <c r="X11" s="188">
        <v>429</v>
      </c>
      <c r="Y11" s="190">
        <v>336</v>
      </c>
      <c r="Z11" s="180">
        <v>338</v>
      </c>
      <c r="AA11" s="180">
        <v>365</v>
      </c>
      <c r="AB11" s="180">
        <v>309</v>
      </c>
      <c r="AC11" s="182">
        <v>0</v>
      </c>
      <c r="AD11" s="182">
        <v>0</v>
      </c>
      <c r="AE11" s="182">
        <v>0</v>
      </c>
      <c r="AF11" s="188">
        <v>0</v>
      </c>
      <c r="AG11" s="201">
        <v>211</v>
      </c>
      <c r="AH11" s="182">
        <v>299</v>
      </c>
      <c r="AI11" s="182">
        <v>250</v>
      </c>
      <c r="AJ11" s="202">
        <v>260</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780</v>
      </c>
      <c r="AZ11" s="127">
        <f t="shared" si="1"/>
        <v>711</v>
      </c>
      <c r="BA11" s="127">
        <f t="shared" si="1"/>
        <v>717</v>
      </c>
      <c r="BB11" s="127">
        <f t="shared" si="1"/>
        <v>774</v>
      </c>
      <c r="BC11" s="125">
        <f>IF(ISNUMBER(X11),X11," - ")</f>
        <v>429</v>
      </c>
      <c r="BD11" s="126">
        <f t="shared" ref="BD11:BD12" si="2">IF(ISNUMBER(BA11/AZ11),BA11/AZ11," - ")</f>
        <v>1.0084388185654007</v>
      </c>
      <c r="BE11" s="127">
        <f t="shared" ref="BE11:BE12" si="3">IF(ISNUMBER(BB11/BA11),BB11/BA11, " - ")</f>
        <v>1.0794979079497908</v>
      </c>
      <c r="BF11" s="127">
        <f t="shared" ref="BF11:BF12" si="4">IF(ISNUMBER(BC11/BA11),BC11/BA11, " - ")</f>
        <v>0.59832635983263593</v>
      </c>
      <c r="BG11" s="195">
        <f t="shared" ref="BG11:BG12" si="5">IF(ISNUMBER((AY11+AZ11)/BA11),(AY11+AZ11)/BA11," - ")</f>
        <v>2.0794979079497908</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15491</v>
      </c>
      <c r="J13" s="183">
        <f t="shared" si="6"/>
        <v>4064</v>
      </c>
      <c r="K13" s="183">
        <f t="shared" si="6"/>
        <v>3895</v>
      </c>
      <c r="L13" s="183">
        <f t="shared" si="6"/>
        <v>15660</v>
      </c>
      <c r="M13" s="183">
        <f t="shared" si="6"/>
        <v>1582</v>
      </c>
      <c r="N13" s="183">
        <f t="shared" si="6"/>
        <v>1690</v>
      </c>
      <c r="O13" s="183">
        <f t="shared" si="6"/>
        <v>1799</v>
      </c>
      <c r="P13" s="183">
        <f t="shared" si="6"/>
        <v>855</v>
      </c>
      <c r="Q13" s="183">
        <f t="shared" si="6"/>
        <v>866</v>
      </c>
      <c r="R13" s="183">
        <f t="shared" si="6"/>
        <v>20373</v>
      </c>
      <c r="S13" s="183">
        <f t="shared" si="6"/>
        <v>17859</v>
      </c>
      <c r="T13" s="183">
        <f t="shared" si="6"/>
        <v>5126</v>
      </c>
      <c r="U13" s="183">
        <f t="shared" si="6"/>
        <v>5099</v>
      </c>
      <c r="V13" s="183">
        <f t="shared" si="6"/>
        <v>18292</v>
      </c>
      <c r="W13" s="183">
        <f t="shared" si="6"/>
        <v>1562</v>
      </c>
      <c r="X13" s="183">
        <f t="shared" si="6"/>
        <v>2189</v>
      </c>
      <c r="Y13" s="183">
        <f t="shared" si="6"/>
        <v>457</v>
      </c>
      <c r="Z13" s="183">
        <f t="shared" si="6"/>
        <v>413</v>
      </c>
      <c r="AA13" s="183">
        <f t="shared" si="6"/>
        <v>469</v>
      </c>
      <c r="AB13" s="183">
        <f t="shared" si="6"/>
        <v>401</v>
      </c>
      <c r="AC13" s="183">
        <f t="shared" si="6"/>
        <v>0</v>
      </c>
      <c r="AD13" s="183">
        <f t="shared" si="6"/>
        <v>0</v>
      </c>
      <c r="AE13" s="183">
        <f t="shared" si="6"/>
        <v>0</v>
      </c>
      <c r="AF13" s="183">
        <f>SUBTOTAL(9,AF9:AF12)</f>
        <v>0</v>
      </c>
      <c r="AG13" s="183">
        <f t="shared" ref="AG13:AT13" si="7">SUBTOTAL(9,AG8:AG12)</f>
        <v>261</v>
      </c>
      <c r="AH13" s="183">
        <f t="shared" si="7"/>
        <v>385</v>
      </c>
      <c r="AI13" s="183">
        <f t="shared" si="7"/>
        <v>312</v>
      </c>
      <c r="AJ13" s="183">
        <f t="shared" si="7"/>
        <v>334</v>
      </c>
      <c r="AK13" s="183">
        <f t="shared" si="7"/>
        <v>0</v>
      </c>
      <c r="AL13" s="183">
        <f t="shared" si="7"/>
        <v>0</v>
      </c>
      <c r="AM13" s="183">
        <f t="shared" si="7"/>
        <v>0</v>
      </c>
      <c r="AN13" s="183">
        <f t="shared" si="7"/>
        <v>0</v>
      </c>
      <c r="AO13" s="183">
        <f t="shared" si="7"/>
        <v>12</v>
      </c>
      <c r="AP13" s="183">
        <f t="shared" si="7"/>
        <v>12</v>
      </c>
      <c r="AQ13" s="183">
        <f t="shared" si="7"/>
        <v>12</v>
      </c>
      <c r="AR13" s="183">
        <f t="shared" si="7"/>
        <v>12</v>
      </c>
      <c r="AS13" s="183">
        <f t="shared" si="7"/>
        <v>0</v>
      </c>
      <c r="AT13" s="183">
        <f t="shared" si="7"/>
        <v>0</v>
      </c>
      <c r="AU13" s="203"/>
      <c r="AV13" s="132"/>
      <c r="AW13" s="203"/>
      <c r="AX13" s="132"/>
      <c r="AY13" s="183">
        <f>SUBTOTAL(9,AY8:AY12)</f>
        <v>18120</v>
      </c>
      <c r="AZ13" s="183">
        <f>SUBTOTAL(9,AZ8:AZ12)</f>
        <v>5511</v>
      </c>
      <c r="BA13" s="183">
        <f>SUBTOTAL(9,BA8:BA12)</f>
        <v>5411</v>
      </c>
      <c r="BB13" s="183">
        <f>SUBTOTAL(9,BB8:BB12)</f>
        <v>18626</v>
      </c>
      <c r="BC13" s="183">
        <f>SUBTOTAL(9,BC8:BC12)</f>
        <v>2209</v>
      </c>
      <c r="BD13" s="204">
        <f>IF(ISNUMBER(BA13/AZ13),BA13/AZ13," - ")</f>
        <v>0.98185447287243699</v>
      </c>
      <c r="BE13" s="205">
        <f>IF(ISNUMBER(BB13/BA13),BB13/BA13, " - ")</f>
        <v>3.4422472740713363</v>
      </c>
      <c r="BF13" s="205">
        <f>IF(ISNUMBER(BC13/BA13),BC13/BA13, " - ")</f>
        <v>0.40824246904453892</v>
      </c>
      <c r="BG13" s="206">
        <f>IF(ISNUMBER((AY13+AZ13)/BA13),(AY13+AZ13)/BA13," - ")</f>
        <v>4.3672149325448162</v>
      </c>
      <c r="BH13" s="139">
        <f>SUBTOTAL(9,BH8:BH12)</f>
        <v>13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4815</v>
      </c>
      <c r="J15" s="182">
        <v>3677</v>
      </c>
      <c r="K15" s="182">
        <v>3727</v>
      </c>
      <c r="L15" s="182">
        <v>4590</v>
      </c>
      <c r="M15" s="182">
        <v>339</v>
      </c>
      <c r="N15" s="182">
        <v>2372</v>
      </c>
      <c r="O15" s="180">
        <v>28</v>
      </c>
      <c r="P15" s="182">
        <v>58</v>
      </c>
      <c r="Q15" s="182">
        <v>61</v>
      </c>
      <c r="R15" s="182">
        <v>645</v>
      </c>
      <c r="S15" s="182">
        <v>4881</v>
      </c>
      <c r="T15" s="182">
        <v>3184</v>
      </c>
      <c r="U15" s="182">
        <v>3081</v>
      </c>
      <c r="V15" s="182">
        <v>5265</v>
      </c>
      <c r="W15" s="182">
        <v>464</v>
      </c>
      <c r="X15" s="188">
        <v>1826</v>
      </c>
      <c r="Y15" s="201">
        <v>0</v>
      </c>
      <c r="Z15" s="182">
        <v>0</v>
      </c>
      <c r="AA15" s="182">
        <v>0</v>
      </c>
      <c r="AB15" s="182">
        <v>0</v>
      </c>
      <c r="AC15" s="182">
        <v>2</v>
      </c>
      <c r="AD15" s="182">
        <v>11</v>
      </c>
      <c r="AE15" s="182">
        <v>12</v>
      </c>
      <c r="AF15" s="188">
        <v>1</v>
      </c>
      <c r="AG15" s="201">
        <v>0</v>
      </c>
      <c r="AH15" s="182">
        <v>0</v>
      </c>
      <c r="AI15" s="182">
        <v>0</v>
      </c>
      <c r="AJ15" s="202">
        <v>0</v>
      </c>
      <c r="AK15" s="181">
        <v>3</v>
      </c>
      <c r="AL15" s="182">
        <v>10</v>
      </c>
      <c r="AM15" s="182">
        <v>13</v>
      </c>
      <c r="AN15" s="188">
        <v>0</v>
      </c>
      <c r="AO15" s="258">
        <v>5</v>
      </c>
      <c r="AP15" s="154">
        <v>5</v>
      </c>
      <c r="AQ15" s="154">
        <v>5</v>
      </c>
      <c r="AR15" s="154">
        <v>5</v>
      </c>
      <c r="AS15" s="339" t="s">
        <v>520</v>
      </c>
      <c r="AT15" s="202" t="s">
        <v>327</v>
      </c>
      <c r="AU15" s="201"/>
      <c r="AV15" s="202"/>
      <c r="AW15" s="201"/>
      <c r="AX15" s="202"/>
      <c r="AY15" s="128">
        <f t="shared" ref="AY15:BB17" si="9">IF(ISNUMBER(IF(D_I="SI",S15,S15+AK15)),IF(D_I="SI",S15,S15+AK15)," - ")</f>
        <v>4881</v>
      </c>
      <c r="AZ15" s="129">
        <f t="shared" si="9"/>
        <v>3184</v>
      </c>
      <c r="BA15" s="129">
        <f t="shared" si="9"/>
        <v>3081</v>
      </c>
      <c r="BB15" s="129">
        <f t="shared" si="9"/>
        <v>5265</v>
      </c>
      <c r="BC15" s="125">
        <f>IF(ISNUMBER(W15),W15," - ")</f>
        <v>464</v>
      </c>
      <c r="BD15" s="126">
        <f>IF(ISNUMBER(BA15/AZ15),BA15/AZ15," - ")</f>
        <v>0.96765075376884424</v>
      </c>
      <c r="BE15" s="127">
        <f>IF(ISNUMBER(BB15/BA15),BB15/BA15, " - ")</f>
        <v>1.7088607594936709</v>
      </c>
      <c r="BF15" s="127">
        <f>IF(ISNUMBER(BC15/BA15),BC15/BA15, " - ")</f>
        <v>0.15060045439792275</v>
      </c>
      <c r="BG15" s="195">
        <f t="shared" ref="BG15:BG17" si="10">IF(ISNUMBER((AY15+AZ15)/BA15),(AY15+AZ15)/BA15," - ")</f>
        <v>2.6176566049983769</v>
      </c>
      <c r="BH15" s="154">
        <v>6</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350</v>
      </c>
      <c r="J18" s="182">
        <v>570</v>
      </c>
      <c r="K18" s="182">
        <v>508</v>
      </c>
      <c r="L18" s="182">
        <v>399</v>
      </c>
      <c r="M18" s="182">
        <v>70</v>
      </c>
      <c r="N18" s="182">
        <v>257</v>
      </c>
      <c r="O18" s="182">
        <v>3</v>
      </c>
      <c r="P18" s="182">
        <v>2</v>
      </c>
      <c r="Q18" s="182">
        <v>3</v>
      </c>
      <c r="R18" s="182">
        <v>9</v>
      </c>
      <c r="S18" s="182">
        <v>214</v>
      </c>
      <c r="T18" s="182">
        <v>494</v>
      </c>
      <c r="U18" s="182">
        <v>500</v>
      </c>
      <c r="V18" s="182">
        <v>208</v>
      </c>
      <c r="W18" s="182">
        <v>92</v>
      </c>
      <c r="X18" s="188">
        <v>203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214</v>
      </c>
      <c r="AZ18" s="129">
        <f t="shared" si="19"/>
        <v>494</v>
      </c>
      <c r="BA18" s="129">
        <f t="shared" si="19"/>
        <v>500</v>
      </c>
      <c r="BB18" s="129">
        <f t="shared" si="19"/>
        <v>208</v>
      </c>
      <c r="BC18" s="125">
        <f>IF(ISNUMBER(W18),W18," - ")</f>
        <v>92</v>
      </c>
      <c r="BD18" s="126">
        <f>IF(ISNUMBER(BA18/AZ18),BA18/AZ18," - ")</f>
        <v>1.0121457489878543</v>
      </c>
      <c r="BE18" s="127">
        <f>IF(ISNUMBER(BB18/BA18),BB18/BA18, " - ")</f>
        <v>0.41599999999999998</v>
      </c>
      <c r="BF18" s="127">
        <f>IF(ISNUMBER(BC18/BA18),BC18/BA18, " - ")</f>
        <v>0.184</v>
      </c>
      <c r="BG18" s="195">
        <f>IF(ISNUMBER((AY18+AZ18)/BA18),(AY18+AZ18)/BA18," - ")</f>
        <v>1.4159999999999999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5165</v>
      </c>
      <c r="J19" s="183">
        <f t="shared" si="20"/>
        <v>4247</v>
      </c>
      <c r="K19" s="183">
        <f t="shared" si="20"/>
        <v>4235</v>
      </c>
      <c r="L19" s="183">
        <f t="shared" si="20"/>
        <v>4989</v>
      </c>
      <c r="M19" s="183">
        <f t="shared" si="20"/>
        <v>409</v>
      </c>
      <c r="N19" s="183">
        <f t="shared" si="20"/>
        <v>2629</v>
      </c>
      <c r="O19" s="183">
        <f t="shared" si="20"/>
        <v>31</v>
      </c>
      <c r="P19" s="183">
        <f t="shared" si="20"/>
        <v>60</v>
      </c>
      <c r="Q19" s="183">
        <f t="shared" si="20"/>
        <v>64</v>
      </c>
      <c r="R19" s="183">
        <f t="shared" si="20"/>
        <v>654</v>
      </c>
      <c r="S19" s="183">
        <f t="shared" si="20"/>
        <v>5095</v>
      </c>
      <c r="T19" s="183">
        <f t="shared" si="20"/>
        <v>3678</v>
      </c>
      <c r="U19" s="183">
        <f t="shared" si="20"/>
        <v>3581</v>
      </c>
      <c r="V19" s="183">
        <f t="shared" si="20"/>
        <v>5473</v>
      </c>
      <c r="W19" s="183">
        <f t="shared" si="20"/>
        <v>556</v>
      </c>
      <c r="X19" s="183">
        <f t="shared" si="20"/>
        <v>2029</v>
      </c>
      <c r="Y19" s="183">
        <f t="shared" si="20"/>
        <v>0</v>
      </c>
      <c r="Z19" s="183">
        <f t="shared" si="20"/>
        <v>0</v>
      </c>
      <c r="AA19" s="183">
        <f t="shared" si="20"/>
        <v>0</v>
      </c>
      <c r="AB19" s="183">
        <f t="shared" si="20"/>
        <v>0</v>
      </c>
      <c r="AC19" s="183">
        <f t="shared" si="20"/>
        <v>2</v>
      </c>
      <c r="AD19" s="183">
        <f t="shared" si="20"/>
        <v>11</v>
      </c>
      <c r="AE19" s="183">
        <f t="shared" si="20"/>
        <v>12</v>
      </c>
      <c r="AF19" s="183">
        <f t="shared" si="20"/>
        <v>1</v>
      </c>
      <c r="AG19" s="183">
        <f t="shared" si="20"/>
        <v>0</v>
      </c>
      <c r="AH19" s="183">
        <f t="shared" si="20"/>
        <v>0</v>
      </c>
      <c r="AI19" s="183">
        <f t="shared" si="20"/>
        <v>0</v>
      </c>
      <c r="AJ19" s="183">
        <f t="shared" si="20"/>
        <v>0</v>
      </c>
      <c r="AK19" s="183">
        <f t="shared" si="20"/>
        <v>3</v>
      </c>
      <c r="AL19" s="183">
        <f t="shared" si="20"/>
        <v>10</v>
      </c>
      <c r="AM19" s="183">
        <f t="shared" si="20"/>
        <v>13</v>
      </c>
      <c r="AN19" s="183">
        <f t="shared" si="20"/>
        <v>0</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5095</v>
      </c>
      <c r="AZ19" s="183">
        <f>SUBTOTAL(9,AZ14:AZ18)</f>
        <v>3678</v>
      </c>
      <c r="BA19" s="183">
        <f>SUBTOTAL(9,BA14:BA18)</f>
        <v>3581</v>
      </c>
      <c r="BB19" s="183">
        <f>SUBTOTAL(9,BB14:BB18)</f>
        <v>5473</v>
      </c>
      <c r="BC19" s="183">
        <f>SUBTOTAL(9,BC14:BC18)</f>
        <v>556</v>
      </c>
      <c r="BD19" s="204">
        <f>IF(ISNUMBER(BA19/AZ19),BA19/AZ19," - ")</f>
        <v>0.97362697117998909</v>
      </c>
      <c r="BE19" s="205">
        <f>IF(ISNUMBER(BB19/BA19),BB19/BA19, " - ")</f>
        <v>1.5283440379782183</v>
      </c>
      <c r="BF19" s="205">
        <f>IF(ISNUMBER(BC19/BA19),BC19/BA19, " - ")</f>
        <v>0.15526389276738342</v>
      </c>
      <c r="BG19" s="206">
        <f>IF(ISNUMBER((AY19+AZ19)/BA19),(AY19+AZ19)/BA19," - ")</f>
        <v>2.4498743367774365</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20656</v>
      </c>
      <c r="J20" s="134">
        <f t="shared" si="23"/>
        <v>8311</v>
      </c>
      <c r="K20" s="134">
        <f t="shared" si="23"/>
        <v>8130</v>
      </c>
      <c r="L20" s="134">
        <f t="shared" si="23"/>
        <v>20649</v>
      </c>
      <c r="M20" s="134">
        <f t="shared" si="23"/>
        <v>1991</v>
      </c>
      <c r="N20" s="134">
        <f t="shared" si="23"/>
        <v>4319</v>
      </c>
      <c r="O20" s="134">
        <f t="shared" si="23"/>
        <v>1830</v>
      </c>
      <c r="P20" s="134">
        <f t="shared" si="23"/>
        <v>915</v>
      </c>
      <c r="Q20" s="134">
        <f t="shared" si="23"/>
        <v>930</v>
      </c>
      <c r="R20" s="134">
        <f t="shared" si="23"/>
        <v>21027</v>
      </c>
      <c r="S20" s="134">
        <f t="shared" si="23"/>
        <v>22954</v>
      </c>
      <c r="T20" s="134">
        <f t="shared" si="23"/>
        <v>8804</v>
      </c>
      <c r="U20" s="134">
        <f t="shared" si="23"/>
        <v>8680</v>
      </c>
      <c r="V20" s="134">
        <f t="shared" si="23"/>
        <v>23765</v>
      </c>
      <c r="W20" s="134">
        <f t="shared" si="23"/>
        <v>2118</v>
      </c>
      <c r="X20" s="134">
        <f t="shared" si="23"/>
        <v>4218</v>
      </c>
      <c r="Y20" s="134">
        <f t="shared" si="23"/>
        <v>457</v>
      </c>
      <c r="Z20" s="134">
        <f t="shared" si="23"/>
        <v>413</v>
      </c>
      <c r="AA20" s="134">
        <f t="shared" si="23"/>
        <v>469</v>
      </c>
      <c r="AB20" s="134">
        <f t="shared" si="23"/>
        <v>401</v>
      </c>
      <c r="AC20" s="134">
        <f t="shared" si="23"/>
        <v>2</v>
      </c>
      <c r="AD20" s="134">
        <f t="shared" si="23"/>
        <v>11</v>
      </c>
      <c r="AE20" s="134">
        <f t="shared" si="23"/>
        <v>12</v>
      </c>
      <c r="AF20" s="134">
        <f t="shared" si="23"/>
        <v>1</v>
      </c>
      <c r="AG20" s="134">
        <f t="shared" si="23"/>
        <v>261</v>
      </c>
      <c r="AH20" s="134">
        <f t="shared" si="23"/>
        <v>385</v>
      </c>
      <c r="AI20" s="134">
        <f t="shared" si="23"/>
        <v>312</v>
      </c>
      <c r="AJ20" s="134">
        <f t="shared" si="23"/>
        <v>334</v>
      </c>
      <c r="AK20" s="134">
        <f t="shared" si="23"/>
        <v>3</v>
      </c>
      <c r="AL20" s="134">
        <f t="shared" si="23"/>
        <v>10</v>
      </c>
      <c r="AM20" s="134">
        <f t="shared" si="23"/>
        <v>13</v>
      </c>
      <c r="AN20" s="209">
        <f t="shared" si="23"/>
        <v>0</v>
      </c>
      <c r="AO20" s="210">
        <v>17</v>
      </c>
      <c r="AP20" s="210">
        <v>17</v>
      </c>
      <c r="AQ20" s="210">
        <v>17</v>
      </c>
      <c r="AR20" s="210">
        <v>17</v>
      </c>
      <c r="AS20" s="152">
        <f t="shared" si="23"/>
        <v>0</v>
      </c>
      <c r="AT20" s="152">
        <f t="shared" si="23"/>
        <v>0</v>
      </c>
      <c r="AU20" s="210"/>
      <c r="AV20" s="211"/>
      <c r="AW20" s="210"/>
      <c r="AX20" s="211"/>
      <c r="AY20" s="133">
        <f>SUBTOTAL(9,AY9:AY19)</f>
        <v>23215</v>
      </c>
      <c r="AZ20" s="134">
        <f>SUBTOTAL(9,AZ9:AZ19)</f>
        <v>9189</v>
      </c>
      <c r="BA20" s="134">
        <f>SUBTOTAL(9,BA9:BA19)</f>
        <v>8992</v>
      </c>
      <c r="BB20" s="134">
        <f>SUBTOTAL(9,BB9:BB19)</f>
        <v>24099</v>
      </c>
      <c r="BC20" s="135">
        <f>SUBTOTAL(9,BC9:BC19)</f>
        <v>2765</v>
      </c>
      <c r="BD20" s="212">
        <f>IF(ISNUMBER(BA20/AZ20),BA20/AZ20," - ")</f>
        <v>0.97856132332136248</v>
      </c>
      <c r="BE20" s="209">
        <f>IF(ISNUMBER(BB20/BA20),BB20/BA20, " - ")</f>
        <v>2.6800489323843415</v>
      </c>
      <c r="BF20" s="209">
        <f>IF(ISNUMBER(BC20/BA20),BC20/BA20, " - ")</f>
        <v>0.3074955516014235</v>
      </c>
      <c r="BG20" s="135">
        <f>IF(ISNUMBER((AY20+AZ20)/BA20),(AY20+AZ20)/BA20," - ")</f>
        <v>3.6036476868327401</v>
      </c>
      <c r="BH20" s="210">
        <f>SUBTOTAL(9,BH9:BH19)</f>
        <v>20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MRqHPJyHYYGt6nskCVskDAmPz5xrebiaD7VmC6aOjguJN5GsqcjTUiQgsqVicZsI8u1RqNwpyn9SYXgRuJJ3A==" saltValue="wvzZHRZHYsGCy5UKFIxN5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Ou+QQwpcJ0Rbh6R82ON0nUVylLmYNN6yBeQHLWOL4qd8QYgIw+2JM0zSA8h8F6hOK9SfL9jth8Mi6UQ9/nJXQ==" saltValue="++1MeTlnDDA4XEmnq/gas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CASTELLON-CASTELLO  Resumenes por Partidos Judiciales  CASTELLO DE LA PLANA-CASTELLON DE LA PLANA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8</v>
      </c>
      <c r="B9" s="500" t="s">
        <v>247</v>
      </c>
      <c r="C9" s="159" t="str">
        <f>Datos!A9</f>
        <v>Sección Civil del T.I</v>
      </c>
      <c r="D9" s="501"/>
      <c r="E9" s="259">
        <f>IF(ISNUMBER(Datos!AQ9),Datos!AQ9," - ")</f>
        <v>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75</v>
      </c>
      <c r="O9" s="333"/>
      <c r="P9" s="333"/>
      <c r="Q9" s="225">
        <f>IF(ISNUMBER(Datos!P9),Datos!P9,0)</f>
        <v>776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803</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92</v>
      </c>
      <c r="AI9" s="333" t="str">
        <f>IF(ISNUMBER(Datos!CD9),Datos!CD9,"-")</f>
        <v>-</v>
      </c>
      <c r="AJ9" s="333" t="str">
        <f>IF(ISNUMBER(Datos!EN9),Datos!EN9," - ")</f>
        <v xml:space="preserve"> - </v>
      </c>
      <c r="AK9" s="333"/>
      <c r="AL9" s="478"/>
      <c r="AM9" s="334">
        <f>IF(ISNUMBER(Datos!R9),Datos!R9," - ")</f>
        <v>18966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1351</v>
      </c>
      <c r="BD9" s="228">
        <f>IF(ISNUMBER(Datos!N9),Datos!N9," - ")</f>
        <v>1237</v>
      </c>
      <c r="BE9" s="228" t="str">
        <f>IF(ISNUMBER(Datos!BW9),Datos!BW9," - ")</f>
        <v xml:space="preserve"> - </v>
      </c>
      <c r="BF9" s="227" t="str">
        <f>IF(ISNUMBER(Datos!BX9),Datos!BX9," - ")</f>
        <v xml:space="preserve"> - </v>
      </c>
      <c r="BG9" s="242">
        <f>IF(ISNUMBER(IF(J_V="SI",Datos!K9/Datos!J9,(Datos!K9+Datos!AA9)/(Datos!J9+Datos!Z9))),IF(J_V="SI",Datos!K9/Datos!J9,(Datos!K9+Datos!AA9)/(Datos!J9+Datos!Z9))," - ")</f>
        <v>0.9533020171318044</v>
      </c>
      <c r="BH9" s="259">
        <f>IF(ISNUMBER(((IF(J_V="SI",Datos!L9/Datos!K9,(Datos!L9+Datos!AB9)/(Datos!K9+Datos!AA9)))*11)/factor_trimestre),((IF(J_V="SI",Datos!L9/Datos!K9,(Datos!L9+Datos!AB9)/(Datos!K9+Datos!AA9)))*11)/factor_trimestre," - ")</f>
        <v>13.129565217391304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-1.421576370241668E-3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175</v>
      </c>
      <c r="G10" s="332">
        <f>IF(ISNUMBER(Datos!I10),Datos!I10," - ")</f>
        <v>175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77</v>
      </c>
      <c r="AC10" s="225">
        <f>IF(ISNUMBER(Datos!Q10),Datos!Q10," - ")</f>
        <v>6</v>
      </c>
      <c r="AD10" s="333"/>
      <c r="AE10" s="483"/>
      <c r="AF10" s="331">
        <f>IF(ISNUMBER(Datos!L10),Datos!L10,"-")</f>
        <v>158</v>
      </c>
      <c r="AG10" s="333"/>
      <c r="AH10" s="333"/>
      <c r="AI10" s="333"/>
      <c r="AJ10" s="333"/>
      <c r="AK10" s="333"/>
      <c r="AL10" s="478"/>
      <c r="AM10" s="334">
        <f>IF(ISNUMBER(Datos!R10),Datos!R10," - ")</f>
        <v>234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26</v>
      </c>
      <c r="BD10" s="228">
        <f>IF(ISNUMBER(Datos!N10),Datos!N10," - ")</f>
        <v>28</v>
      </c>
      <c r="BE10" s="228" t="str">
        <f>IF(ISNUMBER(Datos!BW10),Datos!BW10," - ")</f>
        <v xml:space="preserve"> - </v>
      </c>
      <c r="BF10" s="227" t="str">
        <f>IF(ISNUMBER(Datos!BX10),Datos!BX10," - ")</f>
        <v xml:space="preserve"> - </v>
      </c>
      <c r="BG10" s="242">
        <f>IF(ISNUMBER(Datos!K10/Datos!J10),Datos!K10/Datos!J10," - ")</f>
        <v>1.2833333333333334</v>
      </c>
      <c r="BH10" s="259">
        <f>IF(ISNUMBER(((Datos!L10/Datos!K10)*11)/factor_trimestre),((Datos!L10/Datos!K10)*11)/factor_trimestre," - ")</f>
        <v>6.1558441558441563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5.4054054054054057E-2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338</v>
      </c>
      <c r="O11" s="333"/>
      <c r="P11" s="333"/>
      <c r="Q11" s="225">
        <f>IF(ISNUMBER(Datos!P11),Datos!P11,0)</f>
        <v>61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57</v>
      </c>
      <c r="AD11" s="333"/>
      <c r="AE11" s="483"/>
      <c r="AF11" s="331" t="str">
        <f>IF(ISNUMBER(IF(J_V="SI",Datos!L11,Datos!L11+Datos!AB11)-IF(Monitorios="SI",Datos!CD11,0)),
                          IF(J_V="SI",Datos!L11,Datos!L11+Datos!AB11)-IF(Monitorios="SI",Datos!CD11,0),
                          " - ")</f>
        <v xml:space="preserve"> - </v>
      </c>
      <c r="AG11" s="333"/>
      <c r="AH11" s="333">
        <f>IF(ISNUMBER(Datos!AB11),Datos!AB11,"-")</f>
        <v>309</v>
      </c>
      <c r="AI11" s="333"/>
      <c r="AJ11" s="333"/>
      <c r="AK11" s="333"/>
      <c r="AL11" s="478"/>
      <c r="AM11" s="334">
        <f>IF(ISNUMBER(Datos!R11),Datos!R11," - ")</f>
        <v>1173</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205</v>
      </c>
      <c r="BD11" s="228">
        <f>IF(ISNUMBER(Datos!N11),Datos!N11," - ")</f>
        <v>425</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1.0488721804511278</v>
      </c>
      <c r="BH11" s="259">
        <f>IF(ISNUMBER(((IF(J_V="SI",Datos!L11/Datos!K11,(Datos!L11+Datos!AB11)/(Datos!K11+Datos!AA11)))*11)/factor_trimestre),((IF(J_V="SI",Datos!L11/Datos!K11,(Datos!L11+Datos!AB11)/(Datos!K11+Datos!AA11)))*11)/factor_trimestre," - ")</f>
        <v>2.8817204301075265</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3.4217279726261761E-3</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12</v>
      </c>
      <c r="F13" s="895">
        <f t="shared" si="0"/>
        <v>175</v>
      </c>
      <c r="G13" s="895">
        <f t="shared" si="0"/>
        <v>175</v>
      </c>
      <c r="H13" s="896">
        <f t="shared" si="0"/>
        <v>0</v>
      </c>
      <c r="I13" s="895">
        <f t="shared" si="0"/>
        <v>0</v>
      </c>
      <c r="J13" s="864">
        <f t="shared" si="0"/>
        <v>0</v>
      </c>
      <c r="K13" s="864">
        <f t="shared" si="0"/>
        <v>0</v>
      </c>
      <c r="L13" s="896">
        <f t="shared" si="0"/>
        <v>0</v>
      </c>
      <c r="M13" s="896">
        <f t="shared" si="0"/>
        <v>0</v>
      </c>
      <c r="N13" s="896">
        <f t="shared" si="0"/>
        <v>413</v>
      </c>
      <c r="O13" s="897">
        <f t="shared" si="0"/>
        <v>0</v>
      </c>
      <c r="P13" s="897">
        <f t="shared" si="0"/>
        <v>0</v>
      </c>
      <c r="Q13" s="896">
        <f t="shared" si="0"/>
        <v>855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77</v>
      </c>
      <c r="AC13" s="896">
        <f t="shared" si="1"/>
        <v>866</v>
      </c>
      <c r="AD13" s="896">
        <f t="shared" si="1"/>
        <v>0</v>
      </c>
      <c r="AE13" s="896">
        <f t="shared" si="1"/>
        <v>0</v>
      </c>
      <c r="AF13" s="896">
        <f t="shared" si="1"/>
        <v>158</v>
      </c>
      <c r="AG13" s="896">
        <f t="shared" si="1"/>
        <v>0</v>
      </c>
      <c r="AH13" s="896">
        <f t="shared" si="1"/>
        <v>401</v>
      </c>
      <c r="AI13" s="896">
        <f t="shared" si="1"/>
        <v>0</v>
      </c>
      <c r="AJ13" s="896">
        <f t="shared" si="1"/>
        <v>0</v>
      </c>
      <c r="AK13" s="896">
        <f t="shared" si="1"/>
        <v>0</v>
      </c>
      <c r="AL13" s="896">
        <f t="shared" si="1"/>
        <v>0</v>
      </c>
      <c r="AM13" s="896">
        <f t="shared" si="1"/>
        <v>20373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1582</v>
      </c>
      <c r="BD13" s="896">
        <f t="shared" si="1"/>
        <v>1690</v>
      </c>
      <c r="BE13" s="896">
        <f t="shared" si="1"/>
        <v>0</v>
      </c>
      <c r="BF13" s="896">
        <f t="shared" si="1"/>
        <v>0</v>
      </c>
      <c r="BG13" s="896">
        <f>IF(ISNUMBER(Datos!K13/Datos!J13),Datos!K13/Datos!J13," - ")</f>
        <v>0.95841535433070868</v>
      </c>
      <c r="BH13" s="900">
        <f>IF(ISNUMBER(((Datos!L13/Datos!K13)*11)/factor_trimestre),((Datos!L13/Datos!K13)*11)/factor_trimestre," - ")</f>
        <v>12.061617458279848</v>
      </c>
      <c r="BI13" s="896">
        <f>IF(ISNUMBER('Resol  Asuntos'!D13/NºAsuntos!G13),'Resol  Asuntos'!D13/NºAsuntos!G13," - ")</f>
        <v>0.36251145737855178</v>
      </c>
      <c r="BJ13" s="896" t="str">
        <f>IF(ISNUMBER(Datos!CI13/Datos!CJ13),Datos!CI13/Datos!CJ13," - ")</f>
        <v xml:space="preserve"> - </v>
      </c>
      <c r="BK13" s="896">
        <f>SUBTOTAL(9,BK8:BK12)</f>
        <v>0</v>
      </c>
      <c r="BL13" s="896">
        <f>IF(ISNUMBER((I13-AB13+L13)/(F13)),(I13-AB13+L13)/(F13)," - ")</f>
        <v>-0.44</v>
      </c>
      <c r="BM13" s="901">
        <f>SUBTOTAL(9,BM9:BM12)</f>
        <v>5.6054205656438566E-2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4640</v>
      </c>
      <c r="G15" s="596">
        <f>IF(ISNUMBER(IF(D_I="SI",Datos!I15,Datos!I15+Datos!AC15)),IF(D_I="SI",Datos!I15,Datos!I15+Datos!AC15)," - ")</f>
        <v>4815</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3727</v>
      </c>
      <c r="AC15" s="225">
        <f>IF(ISNUMBER(Datos!Q15),Datos!Q15," - ")</f>
        <v>61</v>
      </c>
      <c r="AD15" s="333"/>
      <c r="AE15" s="483"/>
      <c r="AF15" s="1192">
        <f>IF(ISNUMBER(IF(D_I="SI",Datos!L15,Datos!L15+Datos!AF15)),IF(D_I="SI",Datos!L15,Datos!L15+Datos!AF15)," - ")</f>
        <v>4590</v>
      </c>
      <c r="AG15" s="333"/>
      <c r="AH15" s="333"/>
      <c r="AI15" s="333"/>
      <c r="AJ15" s="333"/>
      <c r="AK15" s="333"/>
      <c r="AL15" s="478"/>
      <c r="AM15" s="334">
        <f>IF(ISNUMBER(Datos!R15),Datos!R15," - ")</f>
        <v>645</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339</v>
      </c>
      <c r="BD15" s="228">
        <f>IF(ISNUMBER(Datos!N15),Datos!N15," - ")</f>
        <v>2372</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1.013598041881969</v>
      </c>
      <c r="BH15" s="259">
        <f>IF(ISNUMBER(((IF(D_I="SI",Datos!L15/Datos!K15,(Datos!L15+Datos!AF15)/(Datos!K15+Datos!AE15)))*11)/factor_trimestre),((IF(D_I="SI",Datos!L15/Datos!K15,(Datos!L15+Datos!AF15)/(Datos!K15+Datos!AE15)))*11)/factor_trimestre," - ")</f>
        <v>3.6946605849208476</v>
      </c>
      <c r="BI15" s="242">
        <f>IF(ISNUMBER('Resol  Asuntos'!D15/NºAsuntos!G15),'Resol  Asuntos'!D15/NºAsuntos!G15," - ")</f>
        <v>9.0957874966460961E-2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350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508</v>
      </c>
      <c r="AC18" s="225">
        <f>IF(ISNUMBER(Datos!Q18),Datos!Q18," - ")</f>
        <v>3</v>
      </c>
      <c r="AD18" s="333"/>
      <c r="AE18" s="483"/>
      <c r="AF18" s="331">
        <f>IF(ISNUMBER(Datos!L18),Datos!L18,"-")</f>
        <v>399</v>
      </c>
      <c r="AG18" s="333"/>
      <c r="AH18" s="333"/>
      <c r="AI18" s="333"/>
      <c r="AJ18" s="333"/>
      <c r="AK18" s="333"/>
      <c r="AL18" s="478"/>
      <c r="AM18" s="334">
        <f>IF(ISNUMBER(Datos!R18),Datos!R18," - ")</f>
        <v>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70</v>
      </c>
      <c r="BD18" s="228">
        <f>IF(ISNUMBER(Datos!N18),Datos!N18," - ")</f>
        <v>257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0.89122807017543859</v>
      </c>
      <c r="BH18" s="259">
        <f>IF(ISNUMBER(((IF(D_I="SI",Datos!L18/Datos!K18,(Datos!L18+Datos!AF18)/(Datos!K18+Datos!AE18)))*11)/factor_trimestre),((IF(D_I="SI",Datos!L18/Datos!K18,(Datos!L18+Datos!AF18)/(Datos!K18+Datos!AE18)))*11)/factor_trimestre," - ")</f>
        <v>2.3562992125984255</v>
      </c>
      <c r="BI18" s="242">
        <f>IF(ISNUMBER('Resol  Asuntos'!D18/NºAsuntos!G18),'Resol  Asuntos'!D18/NºAsuntos!G18," - ")</f>
        <v>0.13779527559055119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4640</v>
      </c>
      <c r="G19" s="895">
        <f>SUBTOTAL(9,G15:G18)</f>
        <v>5165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4235</v>
      </c>
      <c r="AC19" s="896">
        <f t="shared" si="4"/>
        <v>64</v>
      </c>
      <c r="AD19" s="896">
        <f t="shared" si="4"/>
        <v>0</v>
      </c>
      <c r="AE19" s="896">
        <f t="shared" si="4"/>
        <v>0</v>
      </c>
      <c r="AF19" s="896">
        <f t="shared" si="4"/>
        <v>4989</v>
      </c>
      <c r="AG19" s="896">
        <f t="shared" si="4"/>
        <v>0</v>
      </c>
      <c r="AH19" s="896">
        <f t="shared" si="4"/>
        <v>0</v>
      </c>
      <c r="AI19" s="896">
        <f t="shared" si="4"/>
        <v>0</v>
      </c>
      <c r="AJ19" s="896">
        <f t="shared" si="4"/>
        <v>0</v>
      </c>
      <c r="AK19" s="896">
        <f t="shared" si="4"/>
        <v>0</v>
      </c>
      <c r="AL19" s="896">
        <f t="shared" si="4"/>
        <v>0</v>
      </c>
      <c r="AM19" s="896">
        <f t="shared" si="4"/>
        <v>654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409</v>
      </c>
      <c r="BD19" s="896">
        <f t="shared" si="4"/>
        <v>2629</v>
      </c>
      <c r="BE19" s="896">
        <f t="shared" si="4"/>
        <v>0</v>
      </c>
      <c r="BF19" s="896">
        <f t="shared" si="4"/>
        <v>0</v>
      </c>
      <c r="BG19" s="896">
        <f>IF(ISNUMBER(Datos!K19/Datos!J19),Datos!K19/Datos!J19," - ")</f>
        <v>0.99717447610077703</v>
      </c>
      <c r="BH19" s="900">
        <f>IF(ISNUMBER(((Datos!L19/Datos!K19)*11)/factor_trimestre),((Datos!L19/Datos!K19)*11)/factor_trimestre," - ")</f>
        <v>3.5341204250295166</v>
      </c>
      <c r="BI19" s="896">
        <f>SUBTOTAL(9,BI15:BI18)</f>
        <v>0.22875315055701215</v>
      </c>
      <c r="BJ19" s="896">
        <f>SUBTOTAL(9,BJ15:BJ18)</f>
        <v>0</v>
      </c>
      <c r="BK19" s="896">
        <f>SUBTOTAL(9,BK15:BK18)</f>
        <v>0</v>
      </c>
      <c r="BL19" s="896">
        <f>IF(ISNUMBER((I19-AB19+L19)/(F19)),(I19-AB19+L19)/(F19)," - ")</f>
        <v>-0.91271551724137934</v>
      </c>
      <c r="BM19" s="902">
        <f>IF(ISNUMBER((Datos!P19-Datos!Q19)/(Datos!R19-Datos!P19+Datos!Q19)),(Datos!P19-Datos!Q19)/(Datos!R19-Datos!P19+Datos!Q19)," - ")</f>
        <v>-6.0790273556231003E-3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19</v>
      </c>
      <c r="F20" s="817">
        <f t="shared" si="6"/>
        <v>4815</v>
      </c>
      <c r="G20" s="817">
        <f t="shared" si="6"/>
        <v>5340</v>
      </c>
      <c r="H20" s="819">
        <f t="shared" si="6"/>
        <v>0</v>
      </c>
      <c r="I20" s="817">
        <f t="shared" si="6"/>
        <v>0</v>
      </c>
      <c r="J20" s="819">
        <f t="shared" si="6"/>
        <v>0</v>
      </c>
      <c r="K20" s="819">
        <f t="shared" si="6"/>
        <v>0</v>
      </c>
      <c r="L20" s="878">
        <f t="shared" si="6"/>
        <v>0</v>
      </c>
      <c r="M20" s="878">
        <f t="shared" si="6"/>
        <v>0</v>
      </c>
      <c r="N20" s="878">
        <f t="shared" si="6"/>
        <v>413</v>
      </c>
      <c r="O20" s="878">
        <f t="shared" si="6"/>
        <v>0</v>
      </c>
      <c r="P20" s="878">
        <f t="shared" si="6"/>
        <v>0</v>
      </c>
      <c r="Q20" s="819">
        <f t="shared" si="6"/>
        <v>915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4312</v>
      </c>
      <c r="AC20" s="818">
        <f t="shared" si="7"/>
        <v>930</v>
      </c>
      <c r="AD20" s="818">
        <f t="shared" si="7"/>
        <v>0</v>
      </c>
      <c r="AE20" s="818">
        <f t="shared" si="7"/>
        <v>0</v>
      </c>
      <c r="AF20" s="825">
        <f t="shared" si="7"/>
        <v>5147</v>
      </c>
      <c r="AG20" s="825">
        <f t="shared" si="7"/>
        <v>0</v>
      </c>
      <c r="AH20" s="825">
        <f t="shared" si="7"/>
        <v>401</v>
      </c>
      <c r="AI20" s="825">
        <f t="shared" si="7"/>
        <v>0</v>
      </c>
      <c r="AJ20" s="818">
        <f t="shared" si="7"/>
        <v>0</v>
      </c>
      <c r="AK20" s="825">
        <f t="shared" si="7"/>
        <v>0</v>
      </c>
      <c r="AL20" s="825">
        <f t="shared" si="7"/>
        <v>0</v>
      </c>
      <c r="AM20" s="825">
        <f t="shared" si="7"/>
        <v>21027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1991</v>
      </c>
      <c r="BD20" s="817">
        <f t="shared" si="7"/>
        <v>4319</v>
      </c>
      <c r="BE20" s="817">
        <f t="shared" si="7"/>
        <v>0</v>
      </c>
      <c r="BF20" s="827">
        <f t="shared" si="7"/>
        <v>0</v>
      </c>
      <c r="BG20" s="912">
        <f>IF(ISNUMBER(Datos!K20/Datos!J20),Datos!K20/Datos!J20," - ")</f>
        <v>0.97822163397906392</v>
      </c>
      <c r="BH20" s="912">
        <f>IF(ISNUMBER(((Datos!L20/Datos!K20)*11)/factor_trimestre),((Datos!L20/Datos!K20)*11)/factor_trimestre," - ")</f>
        <v>7.6195571955719563</v>
      </c>
      <c r="BI20" s="810">
        <f>IF(ISNUMBER(Datos!J20/Datos!I20),Datos!J20/Datos!I20," - ")</f>
        <v>0.4023528272656855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-0.89553478712357215</v>
      </c>
      <c r="BM20" s="886">
        <f>IF(ISNUMBER((Datos!P20-Datos!Q20+R20)/(Datos!R20-Datos!P20+Datos!Q20-R20)),(Datos!P20-Datos!Q20+R20)/(Datos!R20-Datos!P20+Datos!Q20-R20)," - ")</f>
        <v>-7.1285999429712005E-4</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4.0770359603788409</v>
      </c>
      <c r="F22" s="550">
        <f>IF(ISNUMBER(STDEV(F8:F19)),STDEV(F8:F19),"-")</f>
        <v>2577.868951931679</v>
      </c>
      <c r="G22" s="551">
        <f>IF(ISNUMBER(STDEV(G8:G19)),STDEV(G8:G19),"-")</f>
        <v>2609.2489340804568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2074.9096847814849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631.47167489165827</v>
      </c>
      <c r="BD22" s="550"/>
      <c r="BE22" s="550">
        <f>IF(ISNUMBER(STDEV(BE8:BE19)),STDEV(BE8:BE19),"-")</f>
        <v>0</v>
      </c>
      <c r="BF22" s="555">
        <f>IF(ISNUMBER(STDEV(BF8:BF19)),STDEV(BF8:BF19),"-")</f>
        <v>0</v>
      </c>
      <c r="BG22" s="772">
        <f>IF(ISNUMBER(STDEV(BG8:BG19)),STDEV(BG8:BG19),"-")</f>
        <v>0.1261999232460117</v>
      </c>
      <c r="BH22" s="773">
        <f>IF(ISNUMBER(STDEV(BH8:BH19)),STDEV(BH8:BH19),"-")</f>
        <v>4.5004365134014899</v>
      </c>
      <c r="BI22" s="248">
        <f>IF(ISNUMBER(STDEV(BI8:BI19)),STDEV(BI8:BI19),"-")</f>
        <v>0.11957724498300076</v>
      </c>
      <c r="BJ22" s="229" t="str">
        <f>IF(ISNUMBER(BL22/BM22),BL22/BM22," - ")</f>
        <v xml:space="preserve"> - </v>
      </c>
      <c r="BK22" s="574"/>
      <c r="BL22" s="558">
        <f>IF(ISNUMBER(STDEV(BL8:BL19)),STDEV(BL8:BL19),"-")</f>
        <v>0.33426034781348546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oPgJ6sTrVlDzQ35CmP013C0a5+306tWl1mjM4x/AFt8MmYcrPH7WWXhjKgSFepqpy39H1S9YQt/Ovqf8XOquA==" saltValue="SZ1LpTX61JNNZ73XLCPCy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CASTELLON-CASTELLO  Resumenes por Partidos Judiciales  CASTELLO DE LA PLANA-CASTELLON DE LA PLANA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8</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776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803</v>
      </c>
      <c r="AA9" s="331" t="str">
        <f>IF(ISNUMBER(IF(J_V="SI",Datos!L9,Datos!L9+Datos!AB9)-IF(Monitorios="SI",Datos!CD9,0)),
                          IF(J_V="SI",Datos!L9,Datos!L9+Datos!AB9)-IF(Monitorios="SI",Datos!CD9,0),
                          " - ")</f>
        <v xml:space="preserve"> - </v>
      </c>
      <c r="AB9" s="333"/>
      <c r="AC9" s="333"/>
      <c r="AD9" s="483"/>
      <c r="AE9" s="483">
        <f>IF(ISNUMBER(Datos!R9),Datos!R9," - ")</f>
        <v>18966</v>
      </c>
      <c r="AF9" s="228" t="str">
        <f>IF(ISNUMBER(Datos!BV9),Datos!BV9," - ")</f>
        <v xml:space="preserve"> - </v>
      </c>
      <c r="AG9" s="224" t="str">
        <f>IF(ISNUMBER(Datos!DV9),Datos!DV9," - ")</f>
        <v xml:space="preserve"> - </v>
      </c>
      <c r="AH9" s="297"/>
      <c r="AI9" s="226"/>
      <c r="AJ9" s="224">
        <f>IF(ISNUMBER(Datos!M9),Datos!M9," - ")</f>
        <v>1351</v>
      </c>
      <c r="AK9" s="228">
        <f>IF(ISNUMBER(Datos!N9),Datos!N9," - ")</f>
        <v>1237</v>
      </c>
      <c r="AL9" s="228" t="str">
        <f>IF(ISNUMBER(Datos!BW9),Datos!BW9," - ")</f>
        <v xml:space="preserve"> - </v>
      </c>
      <c r="AM9" s="227" t="str">
        <f>IF(ISNUMBER(Datos!BX9),Datos!BX9," - ")</f>
        <v xml:space="preserve"> - </v>
      </c>
      <c r="AN9" s="242"/>
      <c r="AO9" s="259">
        <f>IF(ISNUMBER(((NºAsuntos!I9/NºAsuntos!G9)*11)/factor_trimestre),((NºAsuntos!I9/NºAsuntos!G9)*11)/factor_trimestre," - ")</f>
        <v>13.129565217391304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-1.421576370241668E-3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175</v>
      </c>
      <c r="G10" s="224">
        <f>IF(ISNUMBER(Datos!I10),Datos!I10," - ")</f>
        <v>175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77</v>
      </c>
      <c r="Z10" s="617">
        <f>IF(ISNUMBER(Datos!Q10),Datos!Q10," - ")</f>
        <v>6</v>
      </c>
      <c r="AA10" s="331">
        <f>IF(ISNUMBER(Datos!L10),Datos!L10,"-")</f>
        <v>158</v>
      </c>
      <c r="AB10" s="333"/>
      <c r="AC10" s="333"/>
      <c r="AD10" s="483"/>
      <c r="AE10" s="483">
        <f>IF(ISNUMBER(Datos!R10),Datos!R10," - ")</f>
        <v>234</v>
      </c>
      <c r="AF10" s="228" t="str">
        <f>IF(ISNUMBER(Datos!BV10),Datos!BV10," - ")</f>
        <v xml:space="preserve"> - </v>
      </c>
      <c r="AG10" s="224" t="str">
        <f>IF(ISNUMBER(Datos!DV10),Datos!DV10," - ")</f>
        <v xml:space="preserve"> - </v>
      </c>
      <c r="AH10" s="297"/>
      <c r="AI10" s="226"/>
      <c r="AJ10" s="224">
        <f>IF(ISNUMBER(Datos!M10),Datos!M10," - ")</f>
        <v>26</v>
      </c>
      <c r="AK10" s="228">
        <f>IF(ISNUMBER(Datos!N10),Datos!N10," - ")</f>
        <v>28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6.1558441558441563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5.4054054054054057E-2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61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57</v>
      </c>
      <c r="AA11" s="331" t="str">
        <f>IF(ISNUMBER(IF(J_V="SI",Datos!L11,Datos!L11+Datos!AB11)-IF(Monitorios="SI",Datos!CD11,0)),
                          IF(J_V="SI",Datos!L11,Datos!L11+Datos!AB11)-IF(Monitorios="SI",Datos!CD11,0),
                          " - ")</f>
        <v xml:space="preserve"> - </v>
      </c>
      <c r="AB11" s="333"/>
      <c r="AC11" s="333"/>
      <c r="AD11" s="483"/>
      <c r="AE11" s="483">
        <f>IF(ISNUMBER(Datos!R11),Datos!R11," - ")</f>
        <v>1173</v>
      </c>
      <c r="AF11" s="228" t="str">
        <f>IF(ISNUMBER(Datos!BV11),Datos!BV11," - ")</f>
        <v xml:space="preserve"> - </v>
      </c>
      <c r="AG11" s="224" t="str">
        <f>IF(ISNUMBER(Datos!DV11),Datos!DV11," - ")</f>
        <v xml:space="preserve"> - </v>
      </c>
      <c r="AH11" s="297"/>
      <c r="AI11" s="226"/>
      <c r="AJ11" s="224">
        <f>IF(ISNUMBER(Datos!M11),Datos!M11," - ")</f>
        <v>205</v>
      </c>
      <c r="AK11" s="228">
        <f>IF(ISNUMBER(Datos!N11),Datos!N11," - ")</f>
        <v>425</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2.8817204301075265</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3.4217279726261761E-3</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12</v>
      </c>
      <c r="F13" s="895">
        <f>SUBTOTAL(9,F8:F12)</f>
        <v>175</v>
      </c>
      <c r="G13" s="895">
        <f>SUBTOTAL(9,G8:G12)</f>
        <v>175</v>
      </c>
      <c r="H13" s="905"/>
      <c r="I13" s="895">
        <f t="shared" ref="I13:N13" si="0">SUBTOTAL(9,I8:I12)</f>
        <v>0</v>
      </c>
      <c r="J13" s="864">
        <f t="shared" si="0"/>
        <v>0</v>
      </c>
      <c r="K13" s="905">
        <f t="shared" si="0"/>
        <v>0</v>
      </c>
      <c r="L13" s="905">
        <f t="shared" si="0"/>
        <v>0</v>
      </c>
      <c r="M13" s="905">
        <f t="shared" si="0"/>
        <v>0</v>
      </c>
      <c r="N13" s="905">
        <f t="shared" si="0"/>
        <v>855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77</v>
      </c>
      <c r="Z13" s="904">
        <f t="shared" si="2"/>
        <v>866</v>
      </c>
      <c r="AA13" s="897">
        <f t="shared" si="2"/>
        <v>158</v>
      </c>
      <c r="AB13" s="897">
        <f t="shared" si="2"/>
        <v>0</v>
      </c>
      <c r="AC13" s="897">
        <f t="shared" si="2"/>
        <v>0</v>
      </c>
      <c r="AD13" s="897">
        <f t="shared" si="2"/>
        <v>0</v>
      </c>
      <c r="AE13" s="897">
        <f t="shared" si="2"/>
        <v>20373</v>
      </c>
      <c r="AF13" s="905">
        <f t="shared" si="2"/>
        <v>0</v>
      </c>
      <c r="AG13" s="905">
        <f t="shared" si="2"/>
        <v>0</v>
      </c>
      <c r="AH13" s="905">
        <f t="shared" si="2"/>
        <v>0</v>
      </c>
      <c r="AI13" s="905">
        <f t="shared" si="2"/>
        <v>0</v>
      </c>
      <c r="AJ13" s="905">
        <f t="shared" si="2"/>
        <v>1582</v>
      </c>
      <c r="AK13" s="905">
        <f t="shared" si="2"/>
        <v>1690</v>
      </c>
      <c r="AL13" s="905">
        <f t="shared" si="2"/>
        <v>0</v>
      </c>
      <c r="AM13" s="905">
        <f t="shared" si="2"/>
        <v>0</v>
      </c>
      <c r="AN13" s="905">
        <f t="shared" si="2"/>
        <v>0</v>
      </c>
      <c r="AO13" s="901">
        <f>IF(ISNUMBER(((NºAsuntos!I13/NºAsuntos!G13)*11)/factor_trimestre),((NºAsuntos!I13/NºAsuntos!G13)*11)/factor_trimestre," - ")</f>
        <v>11.0410174152154</v>
      </c>
      <c r="AP13" s="907" t="str">
        <f>IF(ISNUMBER(Datos!CI13/Datos!CJ13),Datos!CI13/Datos!CJ13," - ")</f>
        <v xml:space="preserve"> - </v>
      </c>
      <c r="AQ13" s="923">
        <f t="shared" ref="AQ13:AV13" si="3">SUBTOTAL(9,AQ9:AQ12)</f>
        <v>0</v>
      </c>
      <c r="AR13" s="923">
        <f t="shared" si="3"/>
        <v>5.6054205656438566E-2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4640</v>
      </c>
      <c r="G15" s="224">
        <f>IF(ISNUMBER(IF(D_I="SI",Datos!I15,Datos!I15+Datos!AC15)),IF(D_I="SI",Datos!I15,Datos!I15+Datos!AC15)," - ")</f>
        <v>4815</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58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3727</v>
      </c>
      <c r="Z15" s="617">
        <f>IF(ISNUMBER(Datos!Q15),Datos!Q15," - ")</f>
        <v>61</v>
      </c>
      <c r="AA15" s="331">
        <f>IF(ISNUMBER(IF(D_I="SI",Datos!L15,Datos!L15+Datos!AF15)),IF(D_I="SI",Datos!L15,Datos!L15+Datos!AF15)," - ")</f>
        <v>4590</v>
      </c>
      <c r="AB15" s="333"/>
      <c r="AC15" s="333"/>
      <c r="AD15" s="483"/>
      <c r="AE15" s="483">
        <f>IF(ISNUMBER(Datos!R15),Datos!R15," - ")</f>
        <v>645</v>
      </c>
      <c r="AF15" s="228" t="str">
        <f>IF(ISNUMBER(Datos!BV15),Datos!BV15," - ")</f>
        <v xml:space="preserve"> - </v>
      </c>
      <c r="AG15" s="224"/>
      <c r="AH15" s="297"/>
      <c r="AI15" s="226"/>
      <c r="AJ15" s="224">
        <f>IF(ISNUMBER(Datos!M15),Datos!M15," - ")</f>
        <v>339</v>
      </c>
      <c r="AK15" s="228">
        <f>IF(ISNUMBER(Datos!N15),Datos!N15," - ")</f>
        <v>2372</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3.6946605849208476</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350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508</v>
      </c>
      <c r="Z18" s="617">
        <f>IF(ISNUMBER(Datos!Q18),Datos!Q18," - ")</f>
        <v>3</v>
      </c>
      <c r="AA18" s="331">
        <f>IF(ISNUMBER(Datos!L18),Datos!L18,"-")</f>
        <v>399</v>
      </c>
      <c r="AB18" s="333"/>
      <c r="AC18" s="333"/>
      <c r="AD18" s="483"/>
      <c r="AE18" s="483">
        <f>IF(ISNUMBER(Datos!R18),Datos!R18," - ")</f>
        <v>9</v>
      </c>
      <c r="AF18" s="228" t="str">
        <f>IF(ISNUMBER(Datos!BV18),Datos!BV18," - ")</f>
        <v xml:space="preserve"> - </v>
      </c>
      <c r="AG18" s="224" t="str">
        <f>IF(ISNUMBER(Datos!DV18),Datos!DV18," - ")</f>
        <v xml:space="preserve"> - </v>
      </c>
      <c r="AH18" s="297"/>
      <c r="AI18" s="226"/>
      <c r="AJ18" s="224">
        <f>IF(ISNUMBER(Datos!M18),Datos!M18," - ")</f>
        <v>70</v>
      </c>
      <c r="AK18" s="228">
        <f>IF(ISNUMBER(Datos!N18),Datos!N18," - ")</f>
        <v>257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2.3562992125984255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4640</v>
      </c>
      <c r="G19" s="895">
        <f>SUBTOTAL(9,G15:G18)</f>
        <v>5165</v>
      </c>
      <c r="H19" s="927">
        <f>SUBTOTAL(9,H15:H18)</f>
        <v>0</v>
      </c>
      <c r="I19" s="908">
        <f>SUBTOTAL(9,I15:I18)</f>
        <v>0</v>
      </c>
      <c r="J19" s="864">
        <f>SUBTOTAL(9,J14:J18)</f>
        <v>0</v>
      </c>
      <c r="K19" s="927">
        <f t="shared" ref="K19:S19" si="4">SUBTOTAL(9,K15:K18)</f>
        <v>0</v>
      </c>
      <c r="L19" s="927">
        <f t="shared" si="4"/>
        <v>0</v>
      </c>
      <c r="M19" s="927">
        <f t="shared" si="4"/>
        <v>0</v>
      </c>
      <c r="N19" s="927">
        <f t="shared" si="4"/>
        <v>60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4235</v>
      </c>
      <c r="Z19" s="927">
        <f t="shared" si="5"/>
        <v>64</v>
      </c>
      <c r="AA19" s="927">
        <f t="shared" si="5"/>
        <v>4989</v>
      </c>
      <c r="AB19" s="927">
        <f t="shared" si="5"/>
        <v>0</v>
      </c>
      <c r="AC19" s="927">
        <f t="shared" si="5"/>
        <v>0</v>
      </c>
      <c r="AD19" s="927">
        <f t="shared" si="5"/>
        <v>0</v>
      </c>
      <c r="AE19" s="927">
        <f t="shared" si="5"/>
        <v>654</v>
      </c>
      <c r="AF19" s="927">
        <f t="shared" si="5"/>
        <v>0</v>
      </c>
      <c r="AG19" s="927">
        <f t="shared" si="5"/>
        <v>0</v>
      </c>
      <c r="AH19" s="927">
        <f t="shared" si="5"/>
        <v>0</v>
      </c>
      <c r="AI19" s="927">
        <f t="shared" si="5"/>
        <v>0</v>
      </c>
      <c r="AJ19" s="927">
        <f t="shared" si="5"/>
        <v>409</v>
      </c>
      <c r="AK19" s="927">
        <f t="shared" si="5"/>
        <v>2629</v>
      </c>
      <c r="AL19" s="927">
        <f t="shared" si="5"/>
        <v>0</v>
      </c>
      <c r="AM19" s="927">
        <f t="shared" si="5"/>
        <v>0</v>
      </c>
      <c r="AN19" s="927">
        <f t="shared" si="5"/>
        <v>0</v>
      </c>
      <c r="AO19" s="929">
        <f>IF(ISNUMBER(((NºAsuntos!I19/NºAsuntos!G19)*11)/factor_trimestre),((NºAsuntos!I19/NºAsuntos!G19)*11)/factor_trimestre," - ")</f>
        <v>3.5341204250295166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19</v>
      </c>
      <c r="F20" s="817">
        <f t="shared" si="7"/>
        <v>4815</v>
      </c>
      <c r="G20" s="817">
        <f t="shared" si="7"/>
        <v>5340</v>
      </c>
      <c r="H20" s="818">
        <f t="shared" si="7"/>
        <v>0</v>
      </c>
      <c r="I20" s="817">
        <f t="shared" si="7"/>
        <v>0</v>
      </c>
      <c r="J20" s="819">
        <f t="shared" si="7"/>
        <v>0</v>
      </c>
      <c r="K20" s="817">
        <f t="shared" si="7"/>
        <v>0</v>
      </c>
      <c r="L20" s="820">
        <f t="shared" si="7"/>
        <v>0</v>
      </c>
      <c r="M20" s="817">
        <f t="shared" si="7"/>
        <v>0</v>
      </c>
      <c r="N20" s="818">
        <f t="shared" si="7"/>
        <v>915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4312</v>
      </c>
      <c r="Z20" s="824">
        <f t="shared" si="8"/>
        <v>930</v>
      </c>
      <c r="AA20" s="825">
        <f t="shared" si="8"/>
        <v>5147</v>
      </c>
      <c r="AB20" s="825">
        <f t="shared" si="8"/>
        <v>0</v>
      </c>
      <c r="AC20" s="825">
        <f t="shared" si="8"/>
        <v>0</v>
      </c>
      <c r="AD20" s="826">
        <f t="shared" si="8"/>
        <v>0</v>
      </c>
      <c r="AE20" s="826">
        <f t="shared" si="8"/>
        <v>21027</v>
      </c>
      <c r="AF20" s="827">
        <f t="shared" si="8"/>
        <v>0</v>
      </c>
      <c r="AG20" s="828">
        <f t="shared" si="8"/>
        <v>0</v>
      </c>
      <c r="AH20" s="829">
        <f t="shared" si="8"/>
        <v>0</v>
      </c>
      <c r="AI20" s="827">
        <f t="shared" si="8"/>
        <v>0</v>
      </c>
      <c r="AJ20" s="817">
        <f t="shared" si="8"/>
        <v>1991</v>
      </c>
      <c r="AK20" s="817">
        <f t="shared" si="8"/>
        <v>4319</v>
      </c>
      <c r="AL20" s="817">
        <f t="shared" si="8"/>
        <v>0</v>
      </c>
      <c r="AM20" s="830">
        <f t="shared" si="8"/>
        <v>0</v>
      </c>
      <c r="AN20" s="820">
        <f>IF(ISNUMBER(Datos!K20/Datos!J20),Datos!K20/Datos!J20," - ")</f>
        <v>0.97822163397906392</v>
      </c>
      <c r="AO20" s="820">
        <f>IF(ISNUMBER(FIND("06",Criterios!A8,1)),(IF(ISNUMBER(((Datos!R20/Datos!Q20)*11)/factor_trimestre),((Datos!R20/Datos!Q20)*11)/factor_trimestre," - ")),(IF(ISNUMBER(((Datos!L20/Datos!K20)*11)/factor_trimestre),((Datos!L20/Datos!K20)*11)/factor_trimestre," - ")))</f>
        <v>7.6195571955719563</v>
      </c>
      <c r="AP20" s="831" t="str">
        <f>IF(ISNUMBER(Datos!CI20/Datos!CJ20),Datos!CI20/Datos!CJ20," - ")</f>
        <v xml:space="preserve"> - </v>
      </c>
      <c r="AQ20" s="831">
        <f>IF(OR(ISNUMBER(FIND("01",Criterios!A8,1)),ISNUMBER(FIND("02",Criterios!A8,1)),ISNUMBER(FIND("03",Criterios!A8,1)),ISNUMBER(FIND("04",Criterios!A8,1))),(J20-Y20+K20)/(F20-K20),(I20-Y20+K20)/(F20-K20))</f>
        <v>-0.89553478712357215</v>
      </c>
      <c r="AR20" s="831">
        <f>IF(ISNUMBER((Datos!P20-Datos!Q20+O20)/(Datos!R20-Datos!P20+Datos!Q20-O20)),(Datos!P20-Datos!Q20+O20)/(Datos!R20-Datos!P20+Datos!Q20-O20)," - ")</f>
        <v>-7.1285999429712005E-4</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2136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2577.868951931679</v>
      </c>
      <c r="G22" s="551">
        <f>IF(ISNUMBER(STDEV(G8:G19)),STDEV(G8:G19),"-")</f>
        <v>2609.2489340804568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631.47167489165827</v>
      </c>
      <c r="AK22" s="251"/>
      <c r="AL22" s="251">
        <f>IF(ISNUMBER(STDEV(AL8:AL19)),STDEV(AL8:AL19),"-")</f>
        <v>0</v>
      </c>
      <c r="AM22" s="253">
        <f>IF(ISNUMBER(STDEV(AM8:AM19)),STDEV(AM8:AM19),"-")</f>
        <v>0</v>
      </c>
      <c r="AN22" s="538">
        <f>IF(ISNUMBER(STDEV(AN8:AN19)),STDEV(AN8:AN19),"-")</f>
        <v>0</v>
      </c>
      <c r="AO22" s="539">
        <f>IF(ISNUMBER(STDEV(AO8:AO19)),STDEV(AO8:AO19),"-")</f>
        <v>4.2928687351053574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9UZ2fsUzjMS33PyM8jy9CZVb17TzNyyJpbJlb80wHSUM5ZUDGX1vZnZlLos4hbY7GHGZf64nBavDdXN9lVxNBg==" saltValue="w9NVFOzgBWmS42hFWVO8w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65bqvUgvf5FW4yNY72dEircxMvPfxjcAlrfPXJsPmqJoPw7fnsfpfaWJMpcHONNZaNkhVYQYpTNbJ61sjKNNzw==" saltValue="3v4ROEPcc/MulOErb7A96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EVkyqCb2nf1J3Yw+46BWg5KLlh8jksrdMMMJP7djggzi09amKo3o2Tor4M7elyhSXy46dmGvn2nplPlVZyptw==" saltValue="4ROlWhkqqxgHNnEN9oMc8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CASTELLON-CASTELLO  Resumenes por Partidos Judiciales  CASTELLO DE LA PLANA-CASTELLON DE LA PLANA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0.36251145737855178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0.25633430977019206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3e749BnHKvA+7u79c5zvpUVgBxCKzCsk0wSj1pGrHMQ9Jwhbz/8m6v/Ygy8iKgx8NytPwrU1grGjyRbOgRRww==" saltValue="KBrI9nE0qoCvD8KuKYxHy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2tAX/tPcZD3N/gmdCK+9K57mn3hNJzlGtGQXP3O/orZR+iGhMjK4mFLLTZKXCatvoZho0SKPbRCiRWwqOnlTTg==" saltValue="yLJlfx64PxRltlD4bOXaM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CASTELLON-CASTELLO  Resumenes por Partidos Judiciales  CASTELLO DE LA PLANA-CASTELLON DE LA PLANA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8</v>
      </c>
      <c r="B9" s="500" t="s">
        <v>247</v>
      </c>
      <c r="C9" s="159" t="str">
        <f>Datos!A9</f>
        <v>Sección Civil del T.I</v>
      </c>
      <c r="D9" s="501"/>
      <c r="E9" s="679">
        <f>IF(ISNUMBER(Datos!AQ9),Datos!AQ9," - ")</f>
        <v>8</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175</v>
      </c>
      <c r="G10" s="681">
        <f>IF(ISNUMBER(Datos!I10),Datos!I10," - ")</f>
        <v>175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77</v>
      </c>
      <c r="AC10" s="680" t="str">
        <f>IF(ISNUMBER(IF(D_I="SI",DatosP!K18,DatosP!K18+DatosP!AE18)),IF(D_I="SI",DatosP!K18,DatosP!K18+DatosP!AE18)," - ")</f>
        <v xml:space="preserve"> - </v>
      </c>
      <c r="AD10" s="682"/>
      <c r="AE10" s="682"/>
      <c r="AF10" s="685">
        <f>IF(ISNUMBER(Datos!L10),Datos!L10,"-")</f>
        <v>158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26</v>
      </c>
      <c r="AM10" s="687">
        <f>IF(ISNUMBER(Datos!N10+DatosP!N18),Datos!N10+DatosP!N18," - ")</f>
        <v>28</v>
      </c>
      <c r="AN10" s="687">
        <f>IF(ISNUMBER(Datos!BW10+DatosP!BW18),Datos!BW10+DatosP!BW18," - ")</f>
        <v>0</v>
      </c>
      <c r="AO10" s="688">
        <f>IF(ISNUMBER(Datos!BX10+DatosP!BX18),Datos!BX10+DatosP!BX18," - ")</f>
        <v>0</v>
      </c>
      <c r="AP10" s="690">
        <f>IF(ISNUMBER(((Datos!L10/Datos!K10)*11)/factor_trimestre),((Datos!L10/Datos!K10)*11)/factor_trimestre," - ")</f>
        <v>6.1558441558441563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12</v>
      </c>
      <c r="F13" s="933">
        <f t="shared" si="0"/>
        <v>175</v>
      </c>
      <c r="G13" s="933">
        <f t="shared" si="0"/>
        <v>175</v>
      </c>
      <c r="H13" s="933">
        <f t="shared" si="0"/>
        <v>0</v>
      </c>
      <c r="I13" s="935">
        <f t="shared" si="0"/>
        <v>0</v>
      </c>
      <c r="J13" s="934">
        <f t="shared" si="0"/>
        <v>0</v>
      </c>
      <c r="K13" s="934">
        <f t="shared" si="0"/>
        <v>0</v>
      </c>
      <c r="L13" s="936">
        <f t="shared" si="0"/>
        <v>0</v>
      </c>
      <c r="M13" s="936">
        <f t="shared" si="0"/>
        <v>0</v>
      </c>
      <c r="N13" s="934">
        <f t="shared" si="0"/>
        <v>18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77</v>
      </c>
      <c r="AC13" s="934">
        <f t="shared" si="1"/>
        <v>0</v>
      </c>
      <c r="AD13" s="934">
        <f t="shared" si="1"/>
        <v>0</v>
      </c>
      <c r="AE13" s="934">
        <f t="shared" si="1"/>
        <v>0</v>
      </c>
      <c r="AF13" s="934">
        <f t="shared" si="1"/>
        <v>158</v>
      </c>
      <c r="AG13" s="934">
        <f t="shared" si="1"/>
        <v>0</v>
      </c>
      <c r="AH13" s="934">
        <f t="shared" si="1"/>
        <v>0</v>
      </c>
      <c r="AI13" s="934">
        <f t="shared" si="1"/>
        <v>0</v>
      </c>
      <c r="AJ13" s="934">
        <f t="shared" si="1"/>
        <v>0</v>
      </c>
      <c r="AK13" s="934">
        <f t="shared" si="1"/>
        <v>0</v>
      </c>
      <c r="AL13" s="934">
        <f t="shared" si="1"/>
        <v>26</v>
      </c>
      <c r="AM13" s="934">
        <f t="shared" si="1"/>
        <v>28</v>
      </c>
      <c r="AN13" s="934">
        <f t="shared" si="1"/>
        <v>0</v>
      </c>
      <c r="AO13" s="934">
        <f t="shared" si="1"/>
        <v>0</v>
      </c>
      <c r="AP13" s="939">
        <f>IF(ISNUMBER(((Datos!L13/Datos!K13)*11)/factor_trimestre),((Datos!L13/Datos!K13)*11)/factor_trimestre," - ")</f>
        <v>12.061617458279848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3.5341204250295166</v>
      </c>
      <c r="AQ19" s="939">
        <f>IF(ISNUMBER(((Datos!M19/Datos!L19)*11)/factor_trimestre),((Datos!M19/Datos!L19)*11)/factor_trimestre," - ")</f>
        <v>0.24594107035478052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-6.0790273556231003E-3</v>
      </c>
      <c r="AW19" s="941">
        <f>IF(ISNUMBER((Datos!Q19-Datos!R19)/(Datos!S19-Datos!Q19+Datos!R19)),(Datos!Q19-Datos!R19)/(Datos!S19-Datos!Q19+Datos!R19)," - ")</f>
        <v>-0.10378188214599825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12</v>
      </c>
      <c r="F20" s="946">
        <f t="shared" si="4"/>
        <v>175</v>
      </c>
      <c r="G20" s="946">
        <f t="shared" si="4"/>
        <v>175</v>
      </c>
      <c r="H20" s="946">
        <f t="shared" si="4"/>
        <v>0</v>
      </c>
      <c r="I20" s="947">
        <f t="shared" si="4"/>
        <v>0</v>
      </c>
      <c r="J20" s="948">
        <f t="shared" si="4"/>
        <v>0</v>
      </c>
      <c r="K20" s="948">
        <f t="shared" si="4"/>
        <v>0</v>
      </c>
      <c r="L20" s="948">
        <f t="shared" si="4"/>
        <v>0</v>
      </c>
      <c r="M20" s="948">
        <f t="shared" si="4"/>
        <v>0</v>
      </c>
      <c r="N20" s="947">
        <f t="shared" si="4"/>
        <v>18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77</v>
      </c>
      <c r="AC20" s="952">
        <f t="shared" si="5"/>
        <v>0</v>
      </c>
      <c r="AD20" s="952">
        <f t="shared" si="5"/>
        <v>0</v>
      </c>
      <c r="AE20" s="952">
        <f t="shared" si="5"/>
        <v>0</v>
      </c>
      <c r="AF20" s="953">
        <f t="shared" si="5"/>
        <v>158</v>
      </c>
      <c r="AG20" s="953">
        <f t="shared" si="5"/>
        <v>0</v>
      </c>
      <c r="AH20" s="953">
        <f t="shared" si="5"/>
        <v>0</v>
      </c>
      <c r="AI20" s="953">
        <f t="shared" si="5"/>
        <v>0</v>
      </c>
      <c r="AJ20" s="954">
        <f t="shared" si="5"/>
        <v>0</v>
      </c>
      <c r="AK20" s="954">
        <f t="shared" si="5"/>
        <v>0</v>
      </c>
      <c r="AL20" s="946">
        <f t="shared" si="5"/>
        <v>26</v>
      </c>
      <c r="AM20" s="946">
        <f t="shared" si="5"/>
        <v>28</v>
      </c>
      <c r="AN20" s="946">
        <f t="shared" si="5"/>
        <v>0</v>
      </c>
      <c r="AO20" s="946">
        <f t="shared" si="5"/>
        <v>0</v>
      </c>
      <c r="AP20" s="946">
        <f>IF(ISNUMBER(((Datos!L20/Datos!K20)*11)/factor_trimestre),((Datos!L20/Datos!K20)*11)/factor_trimestre," - ")</f>
        <v>7.6195571955719563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-7.1285999429712005E-4</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4.8989794855663558</v>
      </c>
      <c r="F22" s="733">
        <f>IF(ISNUMBER(STDEV(F8:F19)),STDEV(F8:F19),"-")</f>
        <v>101.0362971081845</v>
      </c>
      <c r="G22" s="734">
        <f>IF(ISNUMBER(STDEV(G8:G19)),STDEV(G8:G19),"-")</f>
        <v>101.0362971081845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44.455970727601184</v>
      </c>
      <c r="AC22" s="735">
        <f>IF(ISNUMBER(STDEV(AC8:AC19)),STDEV(AC8:AC19),"-")</f>
        <v>0</v>
      </c>
      <c r="AD22" s="738"/>
      <c r="AE22" s="738"/>
      <c r="AF22" s="738"/>
      <c r="AG22" s="738"/>
      <c r="AH22" s="738"/>
      <c r="AI22" s="738"/>
      <c r="AJ22" s="739">
        <f>IF(ISNUMBER(STDEV(AJ8:AJ19)),STDEV(AJ8:AJ19),"-")</f>
        <v>0</v>
      </c>
      <c r="AK22" s="741"/>
      <c r="AL22" s="733">
        <f>IF(ISNUMBER(STDEV(AL8:AL19)),STDEV(AL8:AL19),"-")</f>
        <v>15.01110699893027</v>
      </c>
      <c r="AM22" s="733"/>
      <c r="AN22" s="733">
        <f>IF(ISNUMBER(STDEV(AN8:AN19)),STDEV(AN8:AN19),"-")</f>
        <v>0</v>
      </c>
      <c r="AO22" s="739">
        <f>IF(ISNUMBER(STDEV(AO8:AO19)),STDEV(AO8:AO19),"-")</f>
        <v>0</v>
      </c>
      <c r="AP22" s="776">
        <f>IF(ISNUMBER(STDEV(AP8:AP19)),STDEV(AP8:AP19),"-")</f>
        <v>4.3678713212229603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OPCrRV87Zdy3HbJWCXGKuthtynojOPcPXgW6U2X4Uybwv7KZraPNMJYKeF6Pi0ckOs9ujuUPup3jlxc88yD7A==" saltValue="wCbZ33eXyj90MItWmKl2v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CASTELLON-CASTELLO  Resumenes por Partidos Judiciales  CASTELLO DE LA PLANA-CASTELLON DE LA PLANA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8</v>
      </c>
      <c r="B9" s="500" t="s">
        <v>247</v>
      </c>
      <c r="C9" s="159" t="str">
        <f>Datos!A9</f>
        <v>Sección Civil del T.I</v>
      </c>
      <c r="D9" s="501"/>
      <c r="E9" s="259">
        <f>IF(ISNUMBER(Datos!AQ9),Datos!AQ9," - ")</f>
        <v>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75</v>
      </c>
      <c r="O9" s="333"/>
      <c r="P9" s="333"/>
      <c r="Q9" s="225">
        <f>IF(ISNUMBER(Datos!P9),Datos!P9,0)</f>
        <v>776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803</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92</v>
      </c>
      <c r="AI9" s="224" t="str">
        <f>IF(ISNUMBER(Datos!CD9),Datos!CD9,"-")</f>
        <v>-</v>
      </c>
      <c r="AJ9" s="224" t="str">
        <f>IF(ISNUMBER(Datos!EN9),Datos!EN9," - ")</f>
        <v xml:space="preserve"> - </v>
      </c>
      <c r="AK9" s="333"/>
      <c r="AL9" s="478"/>
      <c r="AM9" s="224">
        <f>IF(ISNUMBER(Datos!R9),Datos!R9," - ")</f>
        <v>18966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1351</v>
      </c>
      <c r="BD9" s="228">
        <f>IF(ISNUMBER(Datos!N9),Datos!N9," - ")</f>
        <v>1237</v>
      </c>
      <c r="BE9" s="224" t="str">
        <f>IF(ISNUMBER(Datos!BW9),Datos!BW9," - ")</f>
        <v xml:space="preserve"> - </v>
      </c>
      <c r="BF9" s="224" t="str">
        <f>IF(ISNUMBER(Datos!BX9),Datos!BX9," - ")</f>
        <v xml:space="preserve"> - </v>
      </c>
      <c r="BG9" s="242">
        <f>IF(ISNUMBER(IF(J_V="SI",Datos!K9/Datos!J9,(Datos!K9+Datos!AA9)/(Datos!J9+Datos!Z9))),IF(J_V="SI",Datos!K9/Datos!J9,(Datos!K9+Datos!AA9)/(Datos!J9+Datos!Z9))," - ")</f>
        <v>0.9533020171318044</v>
      </c>
      <c r="BH9" s="224">
        <f>IF(ISNUMBER(((IF(J_V="SI",Datos!L9/Datos!K9,(Datos!L9+Datos!AB9)/(Datos!K9+Datos!AA9)))*11)/factor_trimestre),((IF(J_V="SI",Datos!L9/Datos!K9,(Datos!L9+Datos!AB9)/(Datos!K9+Datos!AA9)))*11)/factor_trimestre," - ")</f>
        <v>13.129565217391304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-1.421576370241668E-3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1501.0909684781486</v>
      </c>
      <c r="CF9" s="228">
        <f ca="1">AVERAGEIFS($AB:$AB,$BW:$BW,BW9,$BX:$BX,BX9)</f>
        <v>1501.0909684781486</v>
      </c>
      <c r="CG9" s="1191">
        <v>0.7</v>
      </c>
      <c r="CH9" s="1191">
        <f ca="1">AVERAGEIF($BW:$BW,$BW9,$AC:$AC)</f>
        <v>253.63636363636363</v>
      </c>
      <c r="CI9" s="228">
        <f ca="1">AVERAGEIFS($AC:$AC,$BW:$BW,$BW9,$BX:$BX,$BX9)</f>
        <v>253.63636363636363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1715.6666666666667</v>
      </c>
      <c r="CR9" s="228">
        <f ca="1">AVERAGEIFS($AF:$AF,$BW:$BW,BW9,$BX:$BX,BX9)</f>
        <v>1715.6666666666667</v>
      </c>
      <c r="CS9" s="1191">
        <v>1.3</v>
      </c>
      <c r="CT9" s="1191">
        <v>1.5</v>
      </c>
      <c r="CU9" s="1191">
        <f ca="1">AVERAGEIF($BW:$BW,$BW9,$AH:$AH)</f>
        <v>150.375</v>
      </c>
      <c r="CV9" s="228">
        <f ca="1">AVERAGEIFS($AH:$AH,$BW:$BW,$BW9,$BX:$BX,$BX9)</f>
        <v>150.375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5734.636363636364</v>
      </c>
      <c r="DH9" s="228">
        <f ca="1">AVERAGEIFS($AM:$AM,$BW:$BW,$BW9,$BX:$BX,$BX9)</f>
        <v>5734.636363636364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4.661151766095422</v>
      </c>
      <c r="ER9" s="228">
        <f ca="1">AVERAGEIFS($BH:$BH,$BW:$BW,$BW9,$BX:$BX,$BX9)</f>
        <v>4.661151766095422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175</v>
      </c>
      <c r="G10" s="332">
        <f>IF(ISNUMBER(Datos!I10),Datos!I10," - ")</f>
        <v>175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77</v>
      </c>
      <c r="AC10" s="224">
        <f>IF(ISNUMBER(Datos!Q10),Datos!Q10," - ")</f>
        <v>6</v>
      </c>
      <c r="AD10" s="224"/>
      <c r="AE10" s="224"/>
      <c r="AF10" s="224">
        <f>IF(ISNUMBER(Datos!L10),Datos!L10,"-")</f>
        <v>158</v>
      </c>
      <c r="AG10" s="333"/>
      <c r="AH10" s="224"/>
      <c r="AI10" s="224"/>
      <c r="AJ10" s="224"/>
      <c r="AK10" s="333"/>
      <c r="AL10" s="478"/>
      <c r="AM10" s="224">
        <f>IF(ISNUMBER(Datos!R10),Datos!R10," - ")</f>
        <v>234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26</v>
      </c>
      <c r="BD10" s="228">
        <f>IF(ISNUMBER(Datos!N10),Datos!N10," - ")</f>
        <v>28</v>
      </c>
      <c r="BE10" s="224" t="str">
        <f>IF(ISNUMBER(Datos!BW10),Datos!BW10," - ")</f>
        <v xml:space="preserve"> - </v>
      </c>
      <c r="BF10" s="224" t="str">
        <f>IF(ISNUMBER(Datos!BX10),Datos!BX10," - ")</f>
        <v xml:space="preserve"> - </v>
      </c>
      <c r="BG10" s="242">
        <f>IF(ISNUMBER(Datos!K10/Datos!J10),Datos!K10/Datos!J10," - ")</f>
        <v>1.2833333333333334</v>
      </c>
      <c r="BH10" s="224">
        <f>IF(ISNUMBER(((Datos!L10/Datos!K10)*11)/factor_trimestre),((Datos!L10/Datos!K10)*11)/factor_trimestre," - ")</f>
        <v>6.1558441558441563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5.4054054054054057E-2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1501.0909684781486</v>
      </c>
      <c r="CF10" s="228">
        <f ca="1">AVERAGEIFS($AB:$AB,$BW:$BW,BW10,$BX:$BX,BX10)</f>
        <v>1501.0909684781486</v>
      </c>
      <c r="CG10" s="1191">
        <v>0.7</v>
      </c>
      <c r="CH10" s="1191">
        <f ca="1">AVERAGEIF($BW:$BW,BW10,$AC:$AC)</f>
        <v>253.63636363636363</v>
      </c>
      <c r="CI10" s="228">
        <f ca="1">AVERAGEIFS($AC:$AC,$BW:$BW,BW10,$BX:$BX,BX10)</f>
        <v>253.63636363636363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1715.6666666666667</v>
      </c>
      <c r="CR10" s="228">
        <f ca="1">AVERAGEIFS($AF:$AF,$BW:$BW,BW10,$BX:$BX,BX10)</f>
        <v>1715.6666666666667</v>
      </c>
      <c r="CS10" s="1191">
        <v>1.3</v>
      </c>
      <c r="CT10" s="1191">
        <v>1.5</v>
      </c>
      <c r="CU10" s="1191">
        <f ca="1">AVERAGEIF($BW:$BW,$BW10,$AH:$AH)</f>
        <v>150.375</v>
      </c>
      <c r="CV10" s="228">
        <f ca="1">AVERAGEIFS($AH:$AH,$BW:$BW,$BW10,$BX:$BX,$BX10)</f>
        <v>150.375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5734.636363636364</v>
      </c>
      <c r="DH10" s="228">
        <f ca="1">AVERAGEIFS($AM:$AM,$BW:$BW,$BW10,$BX:$BX,$BX10)</f>
        <v>5734.636363636364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4.661151766095422</v>
      </c>
      <c r="ER10" s="228">
        <f ca="1">AVERAGEIFS($BH:$BH,$BW:$BW,$BW10,$BX:$BX,$BX10)</f>
        <v>4.661151766095422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338</v>
      </c>
      <c r="O11" s="333"/>
      <c r="P11" s="333"/>
      <c r="Q11" s="225">
        <f>IF(ISNUMBER(Datos!P11),Datos!P11,0)</f>
        <v>61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57</v>
      </c>
      <c r="AD11" s="224"/>
      <c r="AE11" s="224"/>
      <c r="AF11" s="224" t="str">
        <f>IF(ISNUMBER(IF(J_V="SI",Datos!L11,Datos!L11+Datos!AB11)-IF(Monitorios="SI",Datos!CD11,0)),
                          IF(J_V="SI",Datos!L11,Datos!L11+Datos!AB11)-IF(Monitorios="SI",Datos!CD11,0),
                          " - ")</f>
        <v xml:space="preserve"> - </v>
      </c>
      <c r="AG11" s="333"/>
      <c r="AH11" s="224">
        <f>IF(ISNUMBER(Datos!AB11),Datos!AB11,"-")</f>
        <v>309</v>
      </c>
      <c r="AI11" s="224"/>
      <c r="AJ11" s="224"/>
      <c r="AK11" s="333"/>
      <c r="AL11" s="478"/>
      <c r="AM11" s="224">
        <f>IF(ISNUMBER(Datos!R11),Datos!R11," - ")</f>
        <v>1173</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205</v>
      </c>
      <c r="BD11" s="228">
        <f>IF(ISNUMBER(Datos!N11),Datos!N11," - ")</f>
        <v>425</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1.0488721804511278</v>
      </c>
      <c r="BH11" s="224">
        <f>IF(ISNUMBER(((IF(J_V="SI",Datos!L11/Datos!K11,(Datos!L11+Datos!AB11)/(Datos!K11+Datos!AA11)))*11)/factor_trimestre),((IF(J_V="SI",Datos!L11/Datos!K11,(Datos!L11+Datos!AB11)/(Datos!K11+Datos!AA11)))*11)/factor_trimestre," - ")</f>
        <v>2.8817204301075265</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3.4217279726261761E-3</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1501.0909684781486</v>
      </c>
      <c r="CF11" s="228">
        <f ca="1">AVERAGEIFS($AB:$AB,$BW:$BW,BW11,$BX:$BX,BX11)</f>
        <v>1501.0909684781486</v>
      </c>
      <c r="CG11" s="1191">
        <v>0.7</v>
      </c>
      <c r="CH11" s="1191">
        <f ca="1">AVERAGEIF($BW:$BW,BW11,$AC:$AC)</f>
        <v>253.63636363636363</v>
      </c>
      <c r="CI11" s="228">
        <f ca="1">AVERAGEIFS($AC:$AC,$BW:$BW,BW11,$BX:$BX,BX11)</f>
        <v>253.63636363636363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1715.6666666666667</v>
      </c>
      <c r="CR11" s="228">
        <f ca="1">AVERAGEIFS($AF:$AF,$BW:$BW,BW11,$BX:$BX,BX11)</f>
        <v>1715.6666666666667</v>
      </c>
      <c r="CS11" s="1191">
        <v>1.3</v>
      </c>
      <c r="CT11" s="1191">
        <v>1.5</v>
      </c>
      <c r="CU11" s="1191">
        <f ca="1">AVERAGEIF($BW:$BW,$BW11,$AH:$AH)</f>
        <v>150.375</v>
      </c>
      <c r="CV11" s="228">
        <f ca="1">AVERAGEIFS($AH:$AH,$BW:$BW,$BW11,$BX:$BX,$BX11)</f>
        <v>150.375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5734.636363636364</v>
      </c>
      <c r="DH11" s="228">
        <f ca="1">AVERAGEIFS($AM:$AM,$BW:$BW,$BW11,$BX:$BX,$BX11)</f>
        <v>5734.636363636364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4.661151766095422</v>
      </c>
      <c r="ER11" s="228">
        <f ca="1">AVERAGEIFS($BH:$BH,$BW:$BW,$BW11,$BX:$BX,$BX11)</f>
        <v>4.661151766095422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1501.0909684781486</v>
      </c>
      <c r="CF12" s="228">
        <f ca="1">AVERAGEIFS($AB:$AB,$BW:$BW,BW12,$BX:$BX,BX12)</f>
        <v>1501.0909684781486</v>
      </c>
      <c r="CG12" s="1191">
        <v>0.7</v>
      </c>
      <c r="CH12" s="1191">
        <f ca="1">AVERAGEIF($BW:$BW,BW12,$AC:$AC)</f>
        <v>253.63636363636363</v>
      </c>
      <c r="CI12" s="228">
        <f ca="1">AVERAGEIFS($AC:$AC,$BW:$BW,BW12,$BX:$BX,BX12)</f>
        <v>253.63636363636363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1715.6666666666667</v>
      </c>
      <c r="CR12" s="228">
        <f ca="1">AVERAGEIFS($AF:$AF,$BW:$BW,BW12,$BX:$BX,BX12)</f>
        <v>1715.6666666666667</v>
      </c>
      <c r="CS12" s="1191">
        <v>1.3</v>
      </c>
      <c r="CT12" s="1191">
        <v>1.5</v>
      </c>
      <c r="CU12" s="1191">
        <f ca="1">AVERAGEIF($BW:$BW,$BW12,$AH:$AH)</f>
        <v>150.375</v>
      </c>
      <c r="CV12" s="228">
        <f ca="1">AVERAGEIFS($AH:$AH,$BW:$BW,$BW12,$BX:$BX,$BX12)</f>
        <v>150.375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5734.636363636364</v>
      </c>
      <c r="DH12" s="228">
        <f ca="1">AVERAGEIFS($AM:$AM,$BW:$BW,$BW12,$BX:$BX,$BX12)</f>
        <v>5734.636363636364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4.661151766095422</v>
      </c>
      <c r="ER12" s="228">
        <f ca="1">AVERAGEIFS($BH:$BH,$BW:$BW,$BW12,$BX:$BX,$BX12)</f>
        <v>4.661151766095422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12</v>
      </c>
      <c r="F13" s="895">
        <f t="shared" si="1"/>
        <v>175</v>
      </c>
      <c r="G13" s="895">
        <f t="shared" si="1"/>
        <v>175</v>
      </c>
      <c r="H13" s="896">
        <f t="shared" si="1"/>
        <v>0</v>
      </c>
      <c r="I13" s="895">
        <f t="shared" si="1"/>
        <v>0</v>
      </c>
      <c r="J13" s="864">
        <f t="shared" si="1"/>
        <v>0</v>
      </c>
      <c r="K13" s="864">
        <f t="shared" si="1"/>
        <v>0</v>
      </c>
      <c r="L13" s="896">
        <f t="shared" si="1"/>
        <v>0</v>
      </c>
      <c r="M13" s="896">
        <f t="shared" si="1"/>
        <v>0</v>
      </c>
      <c r="N13" s="896">
        <f t="shared" si="1"/>
        <v>413</v>
      </c>
      <c r="O13" s="897">
        <f t="shared" si="1"/>
        <v>0</v>
      </c>
      <c r="P13" s="897">
        <f t="shared" si="1"/>
        <v>0</v>
      </c>
      <c r="Q13" s="896">
        <f t="shared" si="1"/>
        <v>855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77</v>
      </c>
      <c r="AC13" s="896">
        <f t="shared" si="2"/>
        <v>866</v>
      </c>
      <c r="AD13" s="896">
        <f t="shared" si="2"/>
        <v>0</v>
      </c>
      <c r="AE13" s="896">
        <f t="shared" si="2"/>
        <v>0</v>
      </c>
      <c r="AF13" s="896">
        <f t="shared" si="2"/>
        <v>158</v>
      </c>
      <c r="AG13" s="896">
        <f t="shared" si="2"/>
        <v>0</v>
      </c>
      <c r="AH13" s="896">
        <f t="shared" si="2"/>
        <v>401</v>
      </c>
      <c r="AI13" s="896">
        <f t="shared" si="2"/>
        <v>0</v>
      </c>
      <c r="AJ13" s="896">
        <f t="shared" si="2"/>
        <v>0</v>
      </c>
      <c r="AK13" s="896">
        <f t="shared" si="2"/>
        <v>0</v>
      </c>
      <c r="AL13" s="896">
        <f t="shared" si="2"/>
        <v>0</v>
      </c>
      <c r="AM13" s="896">
        <f t="shared" si="2"/>
        <v>20373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1582</v>
      </c>
      <c r="BD13" s="896">
        <f t="shared" si="2"/>
        <v>1690</v>
      </c>
      <c r="BE13" s="896">
        <f t="shared" si="2"/>
        <v>0</v>
      </c>
      <c r="BF13" s="896">
        <f t="shared" si="2"/>
        <v>0</v>
      </c>
      <c r="BG13" s="896">
        <f>IF(ISNUMBER(Datos!K13/Datos!J13),Datos!K13/Datos!J13," - ")</f>
        <v>0.95841535433070868</v>
      </c>
      <c r="BH13" s="900">
        <f>IF(ISNUMBER(((Datos!L13/Datos!K13)*11)/factor_trimestre),((Datos!L13/Datos!K13)*11)/factor_trimestre," - ")</f>
        <v>12.061617458279848</v>
      </c>
      <c r="BI13" s="896">
        <f>IF(ISNUMBER('Resol  Asuntos'!D13/NºAsuntos!G13),'Resol  Asuntos'!D13/NºAsuntos!G13," - ")</f>
        <v>0.36251145737855178</v>
      </c>
      <c r="BJ13" s="896" t="str">
        <f>IF(ISNUMBER(Datos!CI13/Datos!CJ13),Datos!CI13/Datos!CJ13," - ")</f>
        <v xml:space="preserve"> - </v>
      </c>
      <c r="BK13" s="896">
        <f>SUBTOTAL(9,BK8:BK12)</f>
        <v>0</v>
      </c>
      <c r="BL13" s="896">
        <f>IF(ISNUMBER((I13-AB13+L13)/(F13)),(I13-AB13+L13)/(F13)," - ")</f>
        <v>-0.44</v>
      </c>
      <c r="BM13" s="901">
        <f>SUBTOTAL(9,BM9:BM12)</f>
        <v>5.6054205656438566E-2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4640</v>
      </c>
      <c r="G15" s="596">
        <f>IF(ISNUMBER(IF(D_I="SI",Datos!I15,Datos!I15+Datos!AC15)),IF(D_I="SI",Datos!I15,Datos!I15+Datos!AC15)," - ")</f>
        <v>4815</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3727</v>
      </c>
      <c r="AC15" s="224">
        <f>IF(ISNUMBER(Datos!Q15),Datos!Q15," - ")</f>
        <v>61</v>
      </c>
      <c r="AD15" s="224"/>
      <c r="AE15" s="224"/>
      <c r="AF15" s="224">
        <f>IF(ISNUMBER(IF(D_I="SI",Datos!L15,Datos!L15+Datos!AF15)),IF(D_I="SI",Datos!L15,Datos!L15+Datos!AF15)," - ")</f>
        <v>4590</v>
      </c>
      <c r="AG15" s="333"/>
      <c r="AH15" s="224"/>
      <c r="AI15" s="224"/>
      <c r="AJ15" s="224"/>
      <c r="AK15" s="333"/>
      <c r="AL15" s="478"/>
      <c r="AM15" s="224">
        <f>IF(ISNUMBER(Datos!R15),Datos!R15," - ")</f>
        <v>645</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339</v>
      </c>
      <c r="BD15" s="228">
        <f>IF(ISNUMBER(Datos!N15),Datos!N15," - ")</f>
        <v>2372</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1.013598041881969</v>
      </c>
      <c r="BH15" s="224">
        <f>IF(ISNUMBER(((IF(D_I="SI",Datos!L15/Datos!K15,(Datos!L15+Datos!AF15)/(Datos!K15+Datos!AE15)))*11)/factor_trimestre),((IF(D_I="SI",Datos!L15/Datos!K15,(Datos!L15+Datos!AF15)/(Datos!K15+Datos!AE15)))*11)/factor_trimestre," - ")</f>
        <v>3.6946605849208476</v>
      </c>
      <c r="BI15" s="242">
        <f>IF(ISNUMBER('Resol  Asuntos'!D15/NºAsuntos!G15),'Resol  Asuntos'!D15/NºAsuntos!G15," - ")</f>
        <v>9.0957874966460961E-2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1501.0909684781486</v>
      </c>
      <c r="CF15" s="228">
        <f ca="1">AVERAGEIFS($AB:$AB,$BW:$BW,BW15,$BX:$BX,BX15)</f>
        <v>1501.0909684781486</v>
      </c>
      <c r="CG15" s="1191">
        <v>0.7</v>
      </c>
      <c r="CH15" s="1191">
        <f ca="1">AVERAGEIF($BW:$BW,BW15,$AC:$AC)</f>
        <v>253.63636363636363</v>
      </c>
      <c r="CI15" s="228">
        <f ca="1">AVERAGEIFS($AC:$AC,$BW:$BW,BW15,$BX:$BX,BX15)</f>
        <v>253.63636363636363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1715.6666666666667</v>
      </c>
      <c r="CR15" s="228">
        <f ca="1">AVERAGEIFS($AF:$AF,$BW:$BW,BW15,$BX:$BX,BX15)</f>
        <v>1715.6666666666667</v>
      </c>
      <c r="CS15" s="1191">
        <v>1.3</v>
      </c>
      <c r="CT15" s="1191">
        <v>1.5</v>
      </c>
      <c r="CU15" s="1191">
        <f ca="1">AVERAGEIF($BW:$BW,$BW15,$AH:$AH)</f>
        <v>150.375</v>
      </c>
      <c r="CV15" s="228">
        <f ca="1">AVERAGEIFS($AH:$AH,$BW:$BW,$BW15,$BX:$BX,$BX15)</f>
        <v>150.375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5734.636363636364</v>
      </c>
      <c r="DH15" s="228">
        <f ca="1">AVERAGEIFS($AM:$AM,$BW:$BW,$BW15,$BX:$BX,$BX15)</f>
        <v>5734.636363636364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4.661151766095422</v>
      </c>
      <c r="ER15" s="228">
        <f ca="1">AVERAGEIFS($BH:$BH,$BW:$BW,$BW15,$BX:$BX,$BX15)</f>
        <v>4.661151766095422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1501.0909684781486</v>
      </c>
      <c r="CF16" s="228">
        <f ca="1">AVERAGEIFS($AB:$AB,$BW:$BW,BW16,$BX:$BX,BX16)</f>
        <v>1501.0909684781486</v>
      </c>
      <c r="CG16" s="1191">
        <v>0.7</v>
      </c>
      <c r="CH16" s="1191">
        <f ca="1">AVERAGEIF($BW:$BW,BW16,$AC:$AC)</f>
        <v>253.63636363636363</v>
      </c>
      <c r="CI16" s="228">
        <f ca="1">AVERAGEIFS($AC:$AC,$BW:$BW,BW16,$BX:$BX,BX16)</f>
        <v>253.63636363636363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1715.6666666666667</v>
      </c>
      <c r="CR16" s="228">
        <f ca="1">AVERAGEIFS($AF:$AF,$BW:$BW,BW16,$BX:$BX,BX16)</f>
        <v>1715.6666666666667</v>
      </c>
      <c r="CS16" s="1191">
        <v>1.3</v>
      </c>
      <c r="CT16" s="1191">
        <v>1.5</v>
      </c>
      <c r="CU16" s="1191">
        <f ca="1">AVERAGEIF($BW:$BW,$BW16,$AH:$AH)</f>
        <v>150.375</v>
      </c>
      <c r="CV16" s="228">
        <f ca="1">AVERAGEIFS($AH:$AH,$BW:$BW,$BW16,$BX:$BX,$BX16)</f>
        <v>150.375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5734.636363636364</v>
      </c>
      <c r="DH16" s="228">
        <f ca="1">AVERAGEIFS($AM:$AM,$BW:$BW,$BW16,$BX:$BX,$BX16)</f>
        <v>5734.636363636364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4.661151766095422</v>
      </c>
      <c r="ER16" s="228">
        <f ca="1">AVERAGEIFS($BH:$BH,$BW:$BW,$BW16,$BX:$BX,$BX16)</f>
        <v>4.661151766095422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1501.0909684781486</v>
      </c>
      <c r="CF17" s="228">
        <f ca="1">AVERAGEIFS($AB:$AB,$BW:$BW,BW17,$BX:$BX,BX17)</f>
        <v>1501.0909684781486</v>
      </c>
      <c r="CG17" s="1191">
        <v>0.7</v>
      </c>
      <c r="CH17" s="1191">
        <f ca="1">AVERAGEIF($BW:$BW,BW17,$AC:$AC)</f>
        <v>253.63636363636363</v>
      </c>
      <c r="CI17" s="228">
        <f ca="1">AVERAGEIFS($AC:$AC,$BW:$BW,BW17,$BX:$BX,BX17)</f>
        <v>253.63636363636363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1715.6666666666667</v>
      </c>
      <c r="CR17" s="228">
        <f ca="1">AVERAGEIFS($AF:$AF,$BW:$BW,BW17,$BX:$BX,BX17)</f>
        <v>1715.6666666666667</v>
      </c>
      <c r="CS17" s="1191">
        <v>1.3</v>
      </c>
      <c r="CT17" s="1191">
        <v>1.5</v>
      </c>
      <c r="CU17" s="1191">
        <f ca="1">AVERAGEIF($BW:$BW,$BW17,$AH:$AH)</f>
        <v>150.375</v>
      </c>
      <c r="CV17" s="228">
        <f ca="1">AVERAGEIFS($AH:$AH,$BW:$BW,$BW17,$BX:$BX,$BX17)</f>
        <v>150.375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5734.636363636364</v>
      </c>
      <c r="DH17" s="228">
        <f ca="1">AVERAGEIFS($AM:$AM,$BW:$BW,$BW17,$BX:$BX,$BX17)</f>
        <v>5734.636363636364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4.661151766095422</v>
      </c>
      <c r="ER17" s="228">
        <f ca="1">AVERAGEIFS($BH:$BH,$BW:$BW,$BW17,$BX:$BX,$BX17)</f>
        <v>4.661151766095422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350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508</v>
      </c>
      <c r="AC18" s="224">
        <f>IF(ISNUMBER(Datos!Q18),Datos!Q18," - ")</f>
        <v>3</v>
      </c>
      <c r="AD18" s="224"/>
      <c r="AE18" s="224"/>
      <c r="AF18" s="224">
        <f>IF(ISNUMBER(Datos!L18),Datos!L18,"-")</f>
        <v>399</v>
      </c>
      <c r="AG18" s="333"/>
      <c r="AH18" s="224"/>
      <c r="AI18" s="224"/>
      <c r="AJ18" s="224"/>
      <c r="AK18" s="333"/>
      <c r="AL18" s="478"/>
      <c r="AM18" s="224">
        <f>IF(ISNUMBER(Datos!R18),Datos!R18," - ")</f>
        <v>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70</v>
      </c>
      <c r="BD18" s="228">
        <f>IF(ISNUMBER(Datos!N18),Datos!N18," - ")</f>
        <v>257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0.89122807017543859</v>
      </c>
      <c r="BH18" s="224">
        <f>IF(ISNUMBER(((IF(D_I="SI",Datos!L18/Datos!K18,(Datos!L18+Datos!AF18)/(Datos!K18+Datos!AE18)))*11)/factor_trimestre),((IF(D_I="SI",Datos!L18/Datos!K18,(Datos!L18+Datos!AF18)/(Datos!K18+Datos!AE18)))*11)/factor_trimestre," - ")</f>
        <v>2.3562992125984255</v>
      </c>
      <c r="BI18" s="242">
        <f>IF(ISNUMBER('Resol  Asuntos'!D18/NºAsuntos!G18),'Resol  Asuntos'!D18/NºAsuntos!G18," - ")</f>
        <v>0.13779527559055119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1501.0909684781486</v>
      </c>
      <c r="CF18" s="228">
        <f ca="1">AVERAGEIFS($AB:$AB,$BW:$BW,BW18,$BX:$BX,BX18)</f>
        <v>1501.0909684781486</v>
      </c>
      <c r="CG18" s="1191">
        <v>0.7</v>
      </c>
      <c r="CH18" s="1191">
        <f ca="1">AVERAGEIF($BW:$BW,BW18,$AC:$AC)</f>
        <v>253.63636363636363</v>
      </c>
      <c r="CI18" s="228">
        <f ca="1">AVERAGEIFS($AC:$AC,$BW:$BW,BW18,$BX:$BX,BX18)</f>
        <v>253.63636363636363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1715.6666666666667</v>
      </c>
      <c r="CR18" s="228">
        <f ca="1">AVERAGEIFS($AF:$AF,$BW:$BW,BW18,$BX:$BX,BX18)</f>
        <v>1715.6666666666667</v>
      </c>
      <c r="CS18" s="1191">
        <v>1.3</v>
      </c>
      <c r="CT18" s="1191">
        <v>1.5</v>
      </c>
      <c r="CU18" s="1191">
        <f ca="1">AVERAGEIF($BW:$BW,$BW18,$AH:$AH)</f>
        <v>150.375</v>
      </c>
      <c r="CV18" s="228">
        <f ca="1">AVERAGEIFS($AH:$AH,$BW:$BW,$BW18,$BX:$BX,$BX18)</f>
        <v>150.375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5734.636363636364</v>
      </c>
      <c r="DH18" s="228">
        <f ca="1">AVERAGEIFS($AM:$AM,$BW:$BW,$BW18,$BX:$BX,$BX18)</f>
        <v>5734.636363636364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4.661151766095422</v>
      </c>
      <c r="ER18" s="228">
        <f ca="1">AVERAGEIFS($BH:$BH,$BW:$BW,$BW18,$BX:$BX,$BX18)</f>
        <v>4.661151766095422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4640</v>
      </c>
      <c r="G19" s="895">
        <f>SUBTOTAL(9,G15:G18)</f>
        <v>5165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4235</v>
      </c>
      <c r="AC19" s="896">
        <f t="shared" si="5"/>
        <v>64</v>
      </c>
      <c r="AD19" s="896">
        <f t="shared" si="5"/>
        <v>0</v>
      </c>
      <c r="AE19" s="896">
        <f t="shared" si="5"/>
        <v>0</v>
      </c>
      <c r="AF19" s="896">
        <f t="shared" si="5"/>
        <v>4989</v>
      </c>
      <c r="AG19" s="896">
        <f t="shared" si="5"/>
        <v>0</v>
      </c>
      <c r="AH19" s="896">
        <f t="shared" si="5"/>
        <v>0</v>
      </c>
      <c r="AI19" s="896">
        <f t="shared" si="5"/>
        <v>0</v>
      </c>
      <c r="AJ19" s="896">
        <f t="shared" si="5"/>
        <v>0</v>
      </c>
      <c r="AK19" s="896">
        <f t="shared" si="5"/>
        <v>0</v>
      </c>
      <c r="AL19" s="896">
        <f t="shared" si="5"/>
        <v>0</v>
      </c>
      <c r="AM19" s="896">
        <f t="shared" si="5"/>
        <v>654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409</v>
      </c>
      <c r="BD19" s="896">
        <f t="shared" si="5"/>
        <v>2629</v>
      </c>
      <c r="BE19" s="896">
        <f t="shared" si="5"/>
        <v>0</v>
      </c>
      <c r="BF19" s="896">
        <f t="shared" si="5"/>
        <v>0</v>
      </c>
      <c r="BG19" s="896">
        <f>IF(ISNUMBER(Datos!K19/Datos!J19),Datos!K19/Datos!J19," - ")</f>
        <v>0.99717447610077703</v>
      </c>
      <c r="BH19" s="900">
        <f>IF(ISNUMBER(((Datos!L19/Datos!K19)*11)/factor_trimestre),((Datos!L19/Datos!K19)*11)/factor_trimestre," - ")</f>
        <v>3.5341204250295166</v>
      </c>
      <c r="BI19" s="896">
        <f>SUBTOTAL(9,BI15:BI18)</f>
        <v>0.22875315055701215</v>
      </c>
      <c r="BJ19" s="896">
        <f>SUBTOTAL(9,BJ15:BJ18)</f>
        <v>0</v>
      </c>
      <c r="BK19" s="896">
        <f>SUBTOTAL(9,BK15:BK18)</f>
        <v>0</v>
      </c>
      <c r="BL19" s="896">
        <f>IF(ISNUMBER((I19-AB19+L19)/(F19)),(I19-AB19+L19)/(F19)," - ")</f>
        <v>-0.91271551724137934</v>
      </c>
      <c r="BM19" s="902">
        <f>IF(ISNUMBER((Datos!P19-Datos!Q19)/(Datos!R19-Datos!P19+Datos!Q19)),(Datos!P19-Datos!Q19)/(Datos!R19-Datos!P19+Datos!Q19)," - ")</f>
        <v>-6.0790273556231003E-3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19</v>
      </c>
      <c r="F20" s="817">
        <f t="shared" si="7"/>
        <v>4815</v>
      </c>
      <c r="G20" s="817">
        <f t="shared" si="7"/>
        <v>5340</v>
      </c>
      <c r="H20" s="819">
        <f t="shared" si="7"/>
        <v>0</v>
      </c>
      <c r="I20" s="817">
        <f t="shared" si="7"/>
        <v>0</v>
      </c>
      <c r="J20" s="819">
        <f t="shared" si="7"/>
        <v>0</v>
      </c>
      <c r="K20" s="819">
        <f t="shared" si="7"/>
        <v>0</v>
      </c>
      <c r="L20" s="878">
        <f t="shared" si="7"/>
        <v>0</v>
      </c>
      <c r="M20" s="878">
        <f t="shared" si="7"/>
        <v>0</v>
      </c>
      <c r="N20" s="878">
        <f t="shared" si="7"/>
        <v>413</v>
      </c>
      <c r="O20" s="878">
        <f t="shared" si="7"/>
        <v>0</v>
      </c>
      <c r="P20" s="878">
        <f t="shared" si="7"/>
        <v>0</v>
      </c>
      <c r="Q20" s="819">
        <f t="shared" si="7"/>
        <v>915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4312</v>
      </c>
      <c r="AC20" s="818">
        <f t="shared" si="8"/>
        <v>930</v>
      </c>
      <c r="AD20" s="818">
        <f t="shared" si="8"/>
        <v>0</v>
      </c>
      <c r="AE20" s="818">
        <f t="shared" si="8"/>
        <v>0</v>
      </c>
      <c r="AF20" s="825">
        <f t="shared" si="8"/>
        <v>5147</v>
      </c>
      <c r="AG20" s="825">
        <f t="shared" si="8"/>
        <v>0</v>
      </c>
      <c r="AH20" s="825">
        <f t="shared" si="8"/>
        <v>401</v>
      </c>
      <c r="AI20" s="825">
        <f t="shared" si="8"/>
        <v>0</v>
      </c>
      <c r="AJ20" s="818">
        <f t="shared" si="8"/>
        <v>0</v>
      </c>
      <c r="AK20" s="825">
        <f t="shared" si="8"/>
        <v>0</v>
      </c>
      <c r="AL20" s="825">
        <f t="shared" si="8"/>
        <v>0</v>
      </c>
      <c r="AM20" s="825">
        <f t="shared" si="8"/>
        <v>21027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1991</v>
      </c>
      <c r="BD20" s="817">
        <f t="shared" si="8"/>
        <v>4319</v>
      </c>
      <c r="BE20" s="817">
        <f t="shared" si="8"/>
        <v>0</v>
      </c>
      <c r="BF20" s="827">
        <f t="shared" si="8"/>
        <v>0</v>
      </c>
      <c r="BG20" s="912">
        <f>IF(ISNUMBER(Datos!K20/Datos!J20),Datos!K20/Datos!J20," - ")</f>
        <v>0.97822163397906392</v>
      </c>
      <c r="BH20" s="912">
        <f>IF(ISNUMBER(((Datos!L20/Datos!K20)*11)/factor_trimestre),((Datos!L20/Datos!K20)*11)/factor_trimestre," - ")</f>
        <v>7.6195571955719563</v>
      </c>
      <c r="BI20" s="810">
        <f>IF(ISNUMBER(Datos!J20/Datos!I20),Datos!J20/Datos!I20," - ")</f>
        <v>0.4023528272656855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-0.89553478712357215</v>
      </c>
      <c r="BM20" s="886">
        <f>IF(ISNUMBER((Datos!P20-Datos!Q20+R20)/(Datos!R20-Datos!P20+Datos!Q20-R20)),(Datos!P20-Datos!Q20+R20)/(Datos!R20-Datos!P20+Datos!Q20-R20)," - ")</f>
        <v>-7.1285999429712005E-4</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4.0770359603788409</v>
      </c>
      <c r="F22" s="550">
        <f>IF(ISNUMBER(STDEV(F8:F19)),STDEV(F8:F19),"-")</f>
        <v>2577.868951931679</v>
      </c>
      <c r="G22" s="551">
        <f>IF(ISNUMBER(STDEV(G8:G19)),STDEV(G8:G19),"-")</f>
        <v>2609.2489340804568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2074.9096847814849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631.47167489165827</v>
      </c>
      <c r="BD22" s="550"/>
      <c r="BE22" s="550">
        <f>IF(ISNUMBER(STDEV(BE8:BE19)),STDEV(BE8:BE19),"-")</f>
        <v>0</v>
      </c>
      <c r="BF22" s="555">
        <f>IF(ISNUMBER(STDEV(BF8:BF19)),STDEV(BF8:BF19),"-")</f>
        <v>0</v>
      </c>
      <c r="BG22" s="772">
        <f>IF(ISNUMBER(STDEV(BG8:BG19)),STDEV(BG8:BG19),"-")</f>
        <v>0.1261999232460117</v>
      </c>
      <c r="BH22" s="773">
        <f>IF(ISNUMBER(STDEV(BH8:BH19)),STDEV(BH8:BH19),"-")</f>
        <v>4.5004365134014899</v>
      </c>
      <c r="BI22" s="248">
        <f>IF(ISNUMBER(STDEV(BI8:BI19)),STDEV(BI8:BI19),"-")</f>
        <v>0.11957724498300076</v>
      </c>
      <c r="BJ22" s="986" t="str">
        <f>IF(ISNUMBER(BL22/BM22),BL22/BM22," - ")</f>
        <v xml:space="preserve"> - </v>
      </c>
      <c r="BK22" s="574"/>
      <c r="BL22" s="558">
        <f>IF(ISNUMBER(STDEV(BL8:BL19)),STDEV(BL8:BL19),"-")</f>
        <v>0.33426034781348546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hC2uxu29kOvd90PuY0nqFn4fR6wBeGczUlk64tKHiAKAIR4ZNjN8nkaC0nXBBVAInJVHt5DYrmEnOv6Zne7bw==" saltValue="ni1L149mBrNbZaiiSEw6q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CASTELLON-CASTELLO  Resumenes por Partidos Judiciales  CASTELLO DE LA PLANA-CASTELLON DE LA PLANA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0.36251145737855178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0.25633430977019206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fvfWiywclx2FgAfOdsIyIlLAadfwkKC7WVPRcXuFC38uN138dFMB4Zt9P/Jphsd8Pwa/ytx5IcO2RWcRcbIx2g==" saltValue="OgodyFa5euyj3PrwLaaxM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CASTELLON-CASTELLO</v>
      </c>
      <c r="C4" s="787" t="str">
        <f>IF(Criterios!B11=0,"",Criterios!B11)</f>
        <v>CASTELLO DE LA PLANA-CASTELLON DE LA PLANA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5mcanvxklVVYsTDlpP11ruYdJv8B8BHunmeb+PuJLJaXpFLmb6RurJzfFDcHPOPXn6qyYpTV5SwgQzdOP3fvxg==" saltValue="E8wQNgoBESawtmdrVlX8P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